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057811B7-B195-41AD-A051-264DB88BC4D9}" xr6:coauthVersionLast="37" xr6:coauthVersionMax="47" xr10:uidLastSave="{00000000-0000-0000-0000-000000000000}"/>
  <bookViews>
    <workbookView xWindow="0" yWindow="0" windowWidth="24000" windowHeight="910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J432" i="17" l="1"/>
  <c r="I563" i="22" l="1"/>
  <c r="I562" i="22"/>
  <c r="I563" i="21"/>
  <c r="I562" i="21"/>
  <c r="I563" i="20"/>
  <c r="I562" i="20"/>
  <c r="J425" i="20"/>
  <c r="I563" i="19"/>
  <c r="I562" i="19"/>
  <c r="I563" i="18"/>
  <c r="I562" i="18"/>
  <c r="I563" i="17"/>
  <c r="I562" i="17"/>
  <c r="I563" i="16"/>
  <c r="I562" i="16"/>
  <c r="I563" i="15"/>
  <c r="I562" i="15"/>
  <c r="J242" i="15"/>
  <c r="I563" i="14"/>
  <c r="I562" i="14"/>
  <c r="I563" i="13"/>
  <c r="I562" i="13"/>
  <c r="I563" i="12"/>
  <c r="I562" i="12"/>
  <c r="I563" i="11"/>
  <c r="I562" i="11"/>
  <c r="J412" i="11"/>
  <c r="I563" i="10"/>
  <c r="I562" i="10"/>
  <c r="I563" i="9"/>
  <c r="I562" i="9"/>
  <c r="J174" i="9"/>
  <c r="I563" i="8"/>
  <c r="I562" i="8"/>
  <c r="I563" i="7"/>
  <c r="I562" i="7"/>
  <c r="J505" i="7"/>
  <c r="J504" i="7"/>
  <c r="I563" i="6"/>
  <c r="I562" i="6"/>
  <c r="I562" i="5"/>
  <c r="I563" i="5"/>
  <c r="I563" i="4"/>
  <c r="I562" i="4"/>
  <c r="I563" i="3"/>
  <c r="I562" i="3"/>
  <c r="J486" i="3"/>
  <c r="J485" i="3"/>
  <c r="J484" i="3"/>
  <c r="J483" i="3"/>
  <c r="J480" i="3"/>
  <c r="J479" i="3"/>
  <c r="J478" i="3"/>
  <c r="J477" i="3"/>
  <c r="J476" i="3"/>
  <c r="J475" i="3"/>
  <c r="I563" i="2"/>
  <c r="I562" i="2"/>
  <c r="J204" i="2"/>
  <c r="J213" i="2"/>
  <c r="J635" i="22" l="1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3" i="22"/>
  <c r="J562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N552" i="22"/>
  <c r="L552" i="22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K369" i="22" s="1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O332" i="22"/>
  <c r="P330" i="22"/>
  <c r="N330" i="22"/>
  <c r="M330" i="22"/>
  <c r="L330" i="22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O313" i="22"/>
  <c r="N311" i="22"/>
  <c r="M311" i="22"/>
  <c r="P311" i="22" s="1"/>
  <c r="L311" i="22"/>
  <c r="O311" i="22" s="1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P294" i="22" s="1"/>
  <c r="O293" i="22"/>
  <c r="O291" i="22"/>
  <c r="N291" i="22"/>
  <c r="M291" i="22"/>
  <c r="P291" i="22" s="1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O274" i="22"/>
  <c r="P272" i="22"/>
  <c r="N272" i="22"/>
  <c r="M272" i="22"/>
  <c r="L272" i="22"/>
  <c r="O272" i="22" s="1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O253" i="22"/>
  <c r="P251" i="22"/>
  <c r="O251" i="22"/>
  <c r="N251" i="22"/>
  <c r="M251" i="22"/>
  <c r="L251" i="22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O223" i="22"/>
  <c r="N221" i="22"/>
  <c r="M221" i="22"/>
  <c r="P221" i="22" s="1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O143" i="22"/>
  <c r="P141" i="22"/>
  <c r="O141" i="22"/>
  <c r="N141" i="22"/>
  <c r="M141" i="22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M120" i="22" s="1"/>
  <c r="P120" i="22" s="1"/>
  <c r="O121" i="22"/>
  <c r="P119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L100" i="22"/>
  <c r="L99" i="22"/>
  <c r="N98" i="22"/>
  <c r="M98" i="22"/>
  <c r="M96" i="22" s="1"/>
  <c r="P96" i="22" s="1"/>
  <c r="O97" i="22"/>
  <c r="N95" i="22"/>
  <c r="M95" i="22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L72" i="22"/>
  <c r="L71" i="22"/>
  <c r="N70" i="22"/>
  <c r="M70" i="22"/>
  <c r="P70" i="22" s="1"/>
  <c r="O69" i="22"/>
  <c r="N67" i="22"/>
  <c r="M67" i="22"/>
  <c r="L67" i="22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N54" i="22"/>
  <c r="M54" i="22"/>
  <c r="L54" i="22"/>
  <c r="N49" i="22"/>
  <c r="L49" i="22"/>
  <c r="O49" i="22" s="1"/>
  <c r="L47" i="22"/>
  <c r="L46" i="22"/>
  <c r="N45" i="22"/>
  <c r="M45" i="22"/>
  <c r="N42" i="22"/>
  <c r="M42" i="22"/>
  <c r="L42" i="22"/>
  <c r="P36" i="22"/>
  <c r="O36" i="22"/>
  <c r="P35" i="22"/>
  <c r="O35" i="22"/>
  <c r="M34" i="22"/>
  <c r="P34" i="22" s="1"/>
  <c r="M33" i="22"/>
  <c r="P32" i="22"/>
  <c r="M32" i="22"/>
  <c r="P31" i="22"/>
  <c r="M31" i="22"/>
  <c r="P30" i="22"/>
  <c r="M30" i="22"/>
  <c r="P29" i="22"/>
  <c r="M29" i="22"/>
  <c r="M28" i="22" s="1"/>
  <c r="P28" i="22" s="1"/>
  <c r="O25" i="22"/>
  <c r="N25" i="22"/>
  <c r="M25" i="22"/>
  <c r="P25" i="22" s="1"/>
  <c r="L25" i="22"/>
  <c r="N24" i="22"/>
  <c r="M24" i="22"/>
  <c r="P23" i="22"/>
  <c r="N23" i="22"/>
  <c r="M23" i="22"/>
  <c r="P21" i="22"/>
  <c r="N21" i="22"/>
  <c r="M21" i="22"/>
  <c r="L21" i="22"/>
  <c r="N19" i="22"/>
  <c r="O15" i="22"/>
  <c r="N15" i="22"/>
  <c r="M15" i="22"/>
  <c r="P15" i="22" s="1"/>
  <c r="L15" i="22"/>
  <c r="M11" i="22"/>
  <c r="P11" i="22" s="1"/>
  <c r="M9" i="22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K630" i="21" s="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K589" i="21" s="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3" i="21"/>
  <c r="J562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L335" i="21"/>
  <c r="L334" i="21"/>
  <c r="N333" i="21"/>
  <c r="M333" i="21"/>
  <c r="O332" i="21"/>
  <c r="P330" i="21"/>
  <c r="O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P314" i="21" s="1"/>
  <c r="O313" i="21"/>
  <c r="N311" i="21"/>
  <c r="M311" i="21"/>
  <c r="P311" i="21" s="1"/>
  <c r="L311" i="21"/>
  <c r="O311" i="21" s="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O291" i="21"/>
  <c r="N291" i="21"/>
  <c r="M291" i="21"/>
  <c r="P291" i="21" s="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P251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P221" i="21"/>
  <c r="N221" i="21"/>
  <c r="M221" i="2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P141" i="21"/>
  <c r="O141" i="21"/>
  <c r="N141" i="21"/>
  <c r="M141" i="2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P119" i="21"/>
  <c r="N119" i="21"/>
  <c r="M119" i="2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P98" i="21" s="1"/>
  <c r="O97" i="21"/>
  <c r="N95" i="21"/>
  <c r="M95" i="21"/>
  <c r="L95" i="21"/>
  <c r="O95" i="21" s="1"/>
  <c r="J93" i="21"/>
  <c r="I93" i="21"/>
  <c r="K93" i="21" s="1"/>
  <c r="J92" i="21"/>
  <c r="I92" i="21"/>
  <c r="K92" i="21" s="1"/>
  <c r="J90" i="21"/>
  <c r="J89" i="21"/>
  <c r="J88" i="21"/>
  <c r="I88" i="21"/>
  <c r="K88" i="21" s="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M74" i="21" s="1"/>
  <c r="L72" i="21"/>
  <c r="L71" i="21"/>
  <c r="N70" i="21"/>
  <c r="M70" i="21"/>
  <c r="O69" i="21"/>
  <c r="P67" i="21"/>
  <c r="N67" i="21"/>
  <c r="M67" i="21"/>
  <c r="L67" i="21"/>
  <c r="J65" i="21"/>
  <c r="I65" i="21"/>
  <c r="J64" i="21"/>
  <c r="I64" i="21"/>
  <c r="N61" i="21"/>
  <c r="L61" i="21"/>
  <c r="O61" i="21" s="1"/>
  <c r="L59" i="21"/>
  <c r="L58" i="21"/>
  <c r="N57" i="21"/>
  <c r="M57" i="21"/>
  <c r="P54" i="21"/>
  <c r="O54" i="21"/>
  <c r="N54" i="21"/>
  <c r="M54" i="21"/>
  <c r="L54" i="21"/>
  <c r="N49" i="21"/>
  <c r="L49" i="21"/>
  <c r="O49" i="21" s="1"/>
  <c r="L47" i="21"/>
  <c r="L46" i="21"/>
  <c r="N45" i="21"/>
  <c r="M45" i="21"/>
  <c r="P42" i="21"/>
  <c r="N42" i="21"/>
  <c r="M42" i="21"/>
  <c r="L42" i="21"/>
  <c r="P36" i="21"/>
  <c r="O36" i="21"/>
  <c r="P35" i="21"/>
  <c r="O35" i="21"/>
  <c r="P34" i="21"/>
  <c r="M34" i="21"/>
  <c r="P33" i="21"/>
  <c r="M33" i="21"/>
  <c r="M32" i="21"/>
  <c r="M31" i="21"/>
  <c r="P31" i="21" s="1"/>
  <c r="P25" i="21"/>
  <c r="O25" i="21"/>
  <c r="N25" i="21"/>
  <c r="M25" i="21"/>
  <c r="L25" i="21"/>
  <c r="P24" i="21"/>
  <c r="N24" i="21"/>
  <c r="M24" i="21"/>
  <c r="M14" i="21" s="1"/>
  <c r="P14" i="21" s="1"/>
  <c r="P23" i="21"/>
  <c r="N23" i="21"/>
  <c r="M23" i="21"/>
  <c r="P21" i="21"/>
  <c r="O21" i="21"/>
  <c r="N21" i="21"/>
  <c r="N19" i="21" s="1"/>
  <c r="M21" i="21"/>
  <c r="L21" i="21"/>
  <c r="L19" i="21" s="1"/>
  <c r="P19" i="21"/>
  <c r="M19" i="21"/>
  <c r="P15" i="21"/>
  <c r="N15" i="21"/>
  <c r="M15" i="21"/>
  <c r="M9" i="21" s="1"/>
  <c r="L15" i="21"/>
  <c r="O15" i="21" s="1"/>
  <c r="M13" i="21"/>
  <c r="P13" i="21" s="1"/>
  <c r="P11" i="21"/>
  <c r="M11" i="21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3" i="20"/>
  <c r="J562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O383" i="20" s="1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K369" i="20" s="1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O330" i="20"/>
  <c r="N330" i="20"/>
  <c r="M330" i="20"/>
  <c r="P330" i="20" s="1"/>
  <c r="L330" i="20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M312" i="20" s="1"/>
  <c r="P312" i="20" s="1"/>
  <c r="O313" i="20"/>
  <c r="O311" i="20"/>
  <c r="N311" i="20"/>
  <c r="M311" i="20"/>
  <c r="P311" i="20" s="1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P291" i="20"/>
  <c r="N291" i="20"/>
  <c r="M291" i="20"/>
  <c r="L291" i="20"/>
  <c r="O291" i="20" s="1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P275" i="20" s="1"/>
  <c r="O274" i="20"/>
  <c r="N272" i="20"/>
  <c r="M272" i="20"/>
  <c r="P272" i="20" s="1"/>
  <c r="L272" i="20"/>
  <c r="O272" i="20" s="1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M252" i="20" s="1"/>
  <c r="P252" i="20" s="1"/>
  <c r="O253" i="20"/>
  <c r="N251" i="20"/>
  <c r="M251" i="20"/>
  <c r="L251" i="20"/>
  <c r="O251" i="20" s="1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P221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L124" i="20"/>
  <c r="L123" i="20"/>
  <c r="N122" i="20"/>
  <c r="M122" i="20"/>
  <c r="P122" i="20" s="1"/>
  <c r="O121" i="20"/>
  <c r="N119" i="20"/>
  <c r="M119" i="20"/>
  <c r="P119" i="20" s="1"/>
  <c r="L119" i="20"/>
  <c r="O119" i="20" s="1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M96" i="20" s="1"/>
  <c r="O97" i="20"/>
  <c r="P95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P67" i="20"/>
  <c r="N67" i="20"/>
  <c r="M67" i="20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P54" i="20"/>
  <c r="O54" i="20"/>
  <c r="N54" i="20"/>
  <c r="M54" i="20"/>
  <c r="L54" i="20"/>
  <c r="N49" i="20"/>
  <c r="L49" i="20"/>
  <c r="O49" i="20" s="1"/>
  <c r="L47" i="20"/>
  <c r="L46" i="20"/>
  <c r="N45" i="20"/>
  <c r="M45" i="20"/>
  <c r="P42" i="20"/>
  <c r="N42" i="20"/>
  <c r="M42" i="20"/>
  <c r="L42" i="20"/>
  <c r="P36" i="20"/>
  <c r="O36" i="20"/>
  <c r="P35" i="20"/>
  <c r="O35" i="20"/>
  <c r="M34" i="20"/>
  <c r="P34" i="20" s="1"/>
  <c r="P33" i="20"/>
  <c r="M33" i="20"/>
  <c r="M32" i="20"/>
  <c r="P32" i="20" s="1"/>
  <c r="M31" i="20"/>
  <c r="P31" i="20" s="1"/>
  <c r="P29" i="20"/>
  <c r="M29" i="20"/>
  <c r="O25" i="20"/>
  <c r="N25" i="20"/>
  <c r="M25" i="20"/>
  <c r="L25" i="20"/>
  <c r="P24" i="20"/>
  <c r="N24" i="20"/>
  <c r="M24" i="20"/>
  <c r="N23" i="20"/>
  <c r="M23" i="20"/>
  <c r="P23" i="20" s="1"/>
  <c r="P21" i="20"/>
  <c r="O21" i="20"/>
  <c r="N21" i="20"/>
  <c r="M21" i="20"/>
  <c r="L21" i="20"/>
  <c r="L19" i="20" s="1"/>
  <c r="N19" i="20"/>
  <c r="N15" i="20"/>
  <c r="L15" i="20"/>
  <c r="O15" i="20" s="1"/>
  <c r="M11" i="20"/>
  <c r="P11" i="20" s="1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3" i="19"/>
  <c r="J562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L335" i="19"/>
  <c r="L334" i="19"/>
  <c r="N333" i="19"/>
  <c r="M333" i="19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O313" i="19"/>
  <c r="P311" i="19"/>
  <c r="N311" i="19"/>
  <c r="M311" i="19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M292" i="19" s="1"/>
  <c r="P292" i="19" s="1"/>
  <c r="O293" i="19"/>
  <c r="O291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O274" i="19"/>
  <c r="O272" i="19"/>
  <c r="N272" i="19"/>
  <c r="M272" i="19"/>
  <c r="P272" i="19" s="1"/>
  <c r="L272" i="19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M250" i="19" s="1"/>
  <c r="O253" i="19"/>
  <c r="P251" i="19"/>
  <c r="N251" i="19"/>
  <c r="M251" i="19"/>
  <c r="L251" i="19"/>
  <c r="O251" i="19" s="1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P221" i="19"/>
  <c r="O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M140" i="19" s="1"/>
  <c r="O143" i="19"/>
  <c r="P141" i="19"/>
  <c r="N141" i="19"/>
  <c r="M141" i="19"/>
  <c r="L141" i="19"/>
  <c r="O141" i="19" s="1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O121" i="19"/>
  <c r="O119" i="19"/>
  <c r="N119" i="19"/>
  <c r="M119" i="19"/>
  <c r="P119" i="19" s="1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M102" i="19" s="1"/>
  <c r="L100" i="19"/>
  <c r="L99" i="19"/>
  <c r="N98" i="19"/>
  <c r="M98" i="19"/>
  <c r="O97" i="19"/>
  <c r="P95" i="19"/>
  <c r="N95" i="19"/>
  <c r="M95" i="19"/>
  <c r="L95" i="19"/>
  <c r="O95" i="19" s="1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P68" i="19" s="1"/>
  <c r="O69" i="19"/>
  <c r="O67" i="19"/>
  <c r="N67" i="19"/>
  <c r="M67" i="19"/>
  <c r="P67" i="19" s="1"/>
  <c r="L67" i="19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M55" i="19" s="1"/>
  <c r="P54" i="19"/>
  <c r="N54" i="19"/>
  <c r="M54" i="19"/>
  <c r="L54" i="19"/>
  <c r="O54" i="19" s="1"/>
  <c r="N49" i="19"/>
  <c r="L49" i="19"/>
  <c r="O49" i="19" s="1"/>
  <c r="L47" i="19"/>
  <c r="L46" i="19"/>
  <c r="N45" i="19"/>
  <c r="M45" i="19"/>
  <c r="N42" i="19"/>
  <c r="M42" i="19"/>
  <c r="P42" i="19" s="1"/>
  <c r="L42" i="19"/>
  <c r="O42" i="19" s="1"/>
  <c r="P36" i="19"/>
  <c r="O36" i="19"/>
  <c r="P35" i="19"/>
  <c r="O35" i="19"/>
  <c r="P34" i="19"/>
  <c r="M34" i="19"/>
  <c r="M33" i="19"/>
  <c r="M13" i="19" s="1"/>
  <c r="P13" i="19" s="1"/>
  <c r="P32" i="19"/>
  <c r="M32" i="19"/>
  <c r="M31" i="19"/>
  <c r="P31" i="19" s="1"/>
  <c r="P30" i="19"/>
  <c r="M30" i="19"/>
  <c r="M29" i="19"/>
  <c r="P29" i="19" s="1"/>
  <c r="P25" i="19"/>
  <c r="N25" i="19"/>
  <c r="M25" i="19"/>
  <c r="L25" i="19"/>
  <c r="O25" i="19" s="1"/>
  <c r="N24" i="19"/>
  <c r="M24" i="19"/>
  <c r="P24" i="19" s="1"/>
  <c r="P23" i="19"/>
  <c r="N23" i="19"/>
  <c r="M23" i="19"/>
  <c r="P21" i="19"/>
  <c r="N21" i="19"/>
  <c r="M21" i="19"/>
  <c r="M19" i="19" s="1"/>
  <c r="L21" i="19"/>
  <c r="L19" i="19" s="1"/>
  <c r="N19" i="19"/>
  <c r="N15" i="19"/>
  <c r="M15" i="19"/>
  <c r="P15" i="19" s="1"/>
  <c r="L15" i="19"/>
  <c r="O15" i="19" s="1"/>
  <c r="M11" i="19"/>
  <c r="P11" i="19" s="1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2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J562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O352" i="18" s="1"/>
  <c r="N351" i="18"/>
  <c r="L351" i="18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O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N311" i="18"/>
  <c r="M311" i="18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O291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N272" i="18"/>
  <c r="M272" i="18"/>
  <c r="L272" i="18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O221" i="18"/>
  <c r="N221" i="18"/>
  <c r="M221" i="18"/>
  <c r="L221" i="18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N141" i="18"/>
  <c r="M141" i="18"/>
  <c r="P141" i="18" s="1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M120" i="18" s="1"/>
  <c r="P120" i="18" s="1"/>
  <c r="O121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N54" i="18"/>
  <c r="M54" i="18"/>
  <c r="P54" i="18" s="1"/>
  <c r="L54" i="18"/>
  <c r="N49" i="18"/>
  <c r="L49" i="18"/>
  <c r="L47" i="18"/>
  <c r="L46" i="18"/>
  <c r="N45" i="18"/>
  <c r="M45" i="18"/>
  <c r="N42" i="18"/>
  <c r="M42" i="18"/>
  <c r="L42" i="18"/>
  <c r="P36" i="18"/>
  <c r="O36" i="18"/>
  <c r="P35" i="18"/>
  <c r="O35" i="18"/>
  <c r="P34" i="18"/>
  <c r="M34" i="18"/>
  <c r="M33" i="18"/>
  <c r="P33" i="18" s="1"/>
  <c r="M32" i="18"/>
  <c r="P32" i="18" s="1"/>
  <c r="P31" i="18"/>
  <c r="M31" i="18"/>
  <c r="M29" i="18" s="1"/>
  <c r="P29" i="18" s="1"/>
  <c r="P25" i="18"/>
  <c r="O25" i="18"/>
  <c r="N25" i="18"/>
  <c r="M25" i="18"/>
  <c r="L25" i="18"/>
  <c r="N24" i="18"/>
  <c r="M24" i="18"/>
  <c r="N23" i="18"/>
  <c r="M23" i="18"/>
  <c r="P23" i="18" s="1"/>
  <c r="N21" i="18"/>
  <c r="M21" i="18"/>
  <c r="P21" i="18" s="1"/>
  <c r="L21" i="18"/>
  <c r="N19" i="18"/>
  <c r="M19" i="18"/>
  <c r="N15" i="18"/>
  <c r="M15" i="18"/>
  <c r="P15" i="18" s="1"/>
  <c r="L15" i="18"/>
  <c r="O15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J562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P330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P312" i="17" s="1"/>
  <c r="O313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O291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N272" i="17"/>
  <c r="M272" i="17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M250" i="17" s="1"/>
  <c r="O253" i="17"/>
  <c r="P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M140" i="17" s="1"/>
  <c r="O143" i="17"/>
  <c r="P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L119" i="17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O97" i="17"/>
  <c r="P95" i="17"/>
  <c r="O95" i="17"/>
  <c r="N95" i="17"/>
  <c r="M95" i="17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L72" i="17"/>
  <c r="L71" i="17"/>
  <c r="N70" i="17"/>
  <c r="M70" i="17"/>
  <c r="O69" i="17"/>
  <c r="N67" i="17"/>
  <c r="M67" i="17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P54" i="17"/>
  <c r="N54" i="17"/>
  <c r="M54" i="17"/>
  <c r="L54" i="17"/>
  <c r="N49" i="17"/>
  <c r="L49" i="17"/>
  <c r="L47" i="17"/>
  <c r="L46" i="17"/>
  <c r="N45" i="17"/>
  <c r="M45" i="17"/>
  <c r="M43" i="17" s="1"/>
  <c r="N42" i="17"/>
  <c r="M42" i="17"/>
  <c r="L42" i="17"/>
  <c r="P36" i="17"/>
  <c r="O36" i="17"/>
  <c r="P35" i="17"/>
  <c r="O35" i="17"/>
  <c r="P34" i="17"/>
  <c r="M34" i="17"/>
  <c r="M33" i="17"/>
  <c r="P33" i="17" s="1"/>
  <c r="P32" i="17"/>
  <c r="M32" i="17"/>
  <c r="M30" i="17" s="1"/>
  <c r="P30" i="17" s="1"/>
  <c r="M31" i="17"/>
  <c r="P25" i="17"/>
  <c r="O25" i="17"/>
  <c r="N25" i="17"/>
  <c r="N15" i="17" s="1"/>
  <c r="M25" i="17"/>
  <c r="L25" i="17"/>
  <c r="N24" i="17"/>
  <c r="M24" i="17"/>
  <c r="P23" i="17"/>
  <c r="N23" i="17"/>
  <c r="M23" i="17"/>
  <c r="P21" i="17"/>
  <c r="N21" i="17"/>
  <c r="M21" i="17"/>
  <c r="L21" i="17"/>
  <c r="N19" i="17"/>
  <c r="M19" i="17"/>
  <c r="L19" i="17"/>
  <c r="M15" i="17"/>
  <c r="P15" i="17" s="1"/>
  <c r="L15" i="17"/>
  <c r="O15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J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K369" i="16" s="1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O353" i="16" s="1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O293" i="16"/>
  <c r="P291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N251" i="16"/>
  <c r="M251" i="16"/>
  <c r="P251" i="16" s="1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N141" i="16"/>
  <c r="M141" i="16"/>
  <c r="P141" i="16" s="1"/>
  <c r="L141" i="16"/>
  <c r="O141" i="16" s="1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P120" i="16" s="1"/>
  <c r="O121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L100" i="16"/>
  <c r="L99" i="16"/>
  <c r="N98" i="16"/>
  <c r="M98" i="16"/>
  <c r="O97" i="16"/>
  <c r="N95" i="16"/>
  <c r="M95" i="16"/>
  <c r="P95" i="16" s="1"/>
  <c r="L95" i="16"/>
  <c r="O95" i="16" s="1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M68" i="16" s="1"/>
  <c r="P68" i="16" s="1"/>
  <c r="O69" i="16"/>
  <c r="N67" i="16"/>
  <c r="M67" i="16"/>
  <c r="P67" i="16" s="1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N54" i="16"/>
  <c r="M54" i="16"/>
  <c r="P54" i="16" s="1"/>
  <c r="L54" i="16"/>
  <c r="O54" i="16" s="1"/>
  <c r="N49" i="16"/>
  <c r="L49" i="16"/>
  <c r="O49" i="16" s="1"/>
  <c r="L47" i="16"/>
  <c r="L46" i="16"/>
  <c r="N45" i="16"/>
  <c r="M45" i="16"/>
  <c r="N42" i="16"/>
  <c r="M42" i="16"/>
  <c r="P42" i="16" s="1"/>
  <c r="L42" i="16"/>
  <c r="P36" i="16"/>
  <c r="O36" i="16"/>
  <c r="P35" i="16"/>
  <c r="O35" i="16"/>
  <c r="P34" i="16"/>
  <c r="M34" i="16"/>
  <c r="M33" i="16"/>
  <c r="P33" i="16" s="1"/>
  <c r="P32" i="16"/>
  <c r="M32" i="16"/>
  <c r="M31" i="16"/>
  <c r="M30" i="16"/>
  <c r="P30" i="16" s="1"/>
  <c r="P25" i="16"/>
  <c r="O25" i="16"/>
  <c r="N25" i="16"/>
  <c r="M25" i="16"/>
  <c r="L25" i="16"/>
  <c r="N24" i="16"/>
  <c r="M24" i="16"/>
  <c r="P24" i="16" s="1"/>
  <c r="P23" i="16"/>
  <c r="N23" i="16"/>
  <c r="M23" i="16"/>
  <c r="N21" i="16"/>
  <c r="M21" i="16"/>
  <c r="P21" i="16" s="1"/>
  <c r="L21" i="16"/>
  <c r="O21" i="16" s="1"/>
  <c r="M19" i="16"/>
  <c r="L19" i="16"/>
  <c r="M15" i="16"/>
  <c r="P15" i="16" s="1"/>
  <c r="L15" i="16"/>
  <c r="O15" i="16" s="1"/>
  <c r="M13" i="16"/>
  <c r="P13" i="16" s="1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2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O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P272" i="15"/>
  <c r="N272" i="15"/>
  <c r="M272" i="15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P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P141" i="15"/>
  <c r="N141" i="15"/>
  <c r="M141" i="15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N119" i="15"/>
  <c r="M119" i="15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O95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O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O54" i="15"/>
  <c r="N54" i="15"/>
  <c r="M54" i="15"/>
  <c r="P54" i="15" s="1"/>
  <c r="L54" i="15"/>
  <c r="N49" i="15"/>
  <c r="L49" i="15"/>
  <c r="O49" i="15" s="1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M34" i="15"/>
  <c r="P33" i="15"/>
  <c r="M33" i="15"/>
  <c r="P32" i="15"/>
  <c r="M32" i="15"/>
  <c r="M31" i="15"/>
  <c r="M30" i="15"/>
  <c r="P30" i="15" s="1"/>
  <c r="O25" i="15"/>
  <c r="N25" i="15"/>
  <c r="N15" i="15" s="1"/>
  <c r="M25" i="15"/>
  <c r="L25" i="15"/>
  <c r="P24" i="15"/>
  <c r="N24" i="15"/>
  <c r="M24" i="15"/>
  <c r="P23" i="15"/>
  <c r="N23" i="15"/>
  <c r="M23" i="15"/>
  <c r="O21" i="15"/>
  <c r="N21" i="15"/>
  <c r="M21" i="15"/>
  <c r="L21" i="15"/>
  <c r="L19" i="15"/>
  <c r="O15" i="15"/>
  <c r="L15" i="15"/>
  <c r="M13" i="15"/>
  <c r="P13" i="15" s="1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O332" i="14"/>
  <c r="P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P292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O272" i="14" s="1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O67" i="14"/>
  <c r="N67" i="14"/>
  <c r="M67" i="14"/>
  <c r="P67" i="14" s="1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N54" i="14"/>
  <c r="M54" i="14"/>
  <c r="L54" i="14"/>
  <c r="O54" i="14" s="1"/>
  <c r="N49" i="14"/>
  <c r="L49" i="14"/>
  <c r="M49" i="14" s="1"/>
  <c r="M26" i="14" s="1"/>
  <c r="L47" i="14"/>
  <c r="L46" i="14"/>
  <c r="N45" i="14"/>
  <c r="M45" i="14"/>
  <c r="P42" i="14"/>
  <c r="N42" i="14"/>
  <c r="M42" i="14"/>
  <c r="L42" i="14"/>
  <c r="O42" i="14" s="1"/>
  <c r="P36" i="14"/>
  <c r="O36" i="14"/>
  <c r="P35" i="14"/>
  <c r="O35" i="14"/>
  <c r="P34" i="14"/>
  <c r="M34" i="14"/>
  <c r="P33" i="14"/>
  <c r="M33" i="14"/>
  <c r="M32" i="14"/>
  <c r="M31" i="14"/>
  <c r="P31" i="14" s="1"/>
  <c r="M29" i="14"/>
  <c r="P25" i="14"/>
  <c r="N25" i="14"/>
  <c r="M25" i="14"/>
  <c r="L25" i="14"/>
  <c r="P24" i="14"/>
  <c r="N24" i="14"/>
  <c r="M24" i="14"/>
  <c r="N23" i="14"/>
  <c r="M23" i="14"/>
  <c r="P21" i="14"/>
  <c r="O21" i="14"/>
  <c r="N21" i="14"/>
  <c r="M21" i="14"/>
  <c r="L21" i="14"/>
  <c r="N19" i="14"/>
  <c r="M19" i="14"/>
  <c r="P19" i="14" s="1"/>
  <c r="P15" i="14"/>
  <c r="N15" i="14"/>
  <c r="M15" i="14"/>
  <c r="M14" i="14"/>
  <c r="P14" i="14" s="1"/>
  <c r="M11" i="14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2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O384" i="13" s="1"/>
  <c r="N383" i="13"/>
  <c r="L383" i="13"/>
  <c r="O383" i="13" s="1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M337" i="13" s="1"/>
  <c r="M26" i="13" s="1"/>
  <c r="M16" i="13" s="1"/>
  <c r="L335" i="13"/>
  <c r="L334" i="13"/>
  <c r="N333" i="13"/>
  <c r="M333" i="13"/>
  <c r="O332" i="13"/>
  <c r="P330" i="13"/>
  <c r="N330" i="13"/>
  <c r="M330" i="13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O311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O291" i="13"/>
  <c r="N291" i="13"/>
  <c r="M291" i="13"/>
  <c r="P291" i="13" s="1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N272" i="13"/>
  <c r="M272" i="13"/>
  <c r="P272" i="13" s="1"/>
  <c r="L272" i="13"/>
  <c r="O272" i="13" s="1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P141" i="13" s="1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P120" i="13" s="1"/>
  <c r="O121" i="13"/>
  <c r="N119" i="13"/>
  <c r="M119" i="13"/>
  <c r="L119" i="13"/>
  <c r="O119" i="13" s="1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P95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O69" i="13"/>
  <c r="N67" i="13"/>
  <c r="M67" i="13"/>
  <c r="P67" i="13" s="1"/>
  <c r="L67" i="13"/>
  <c r="O67" i="13" s="1"/>
  <c r="J65" i="13"/>
  <c r="I65" i="13"/>
  <c r="J64" i="13"/>
  <c r="I64" i="13"/>
  <c r="N61" i="13"/>
  <c r="L61" i="13"/>
  <c r="O61" i="13" s="1"/>
  <c r="L59" i="13"/>
  <c r="L58" i="13"/>
  <c r="N57" i="13"/>
  <c r="M57" i="13"/>
  <c r="P54" i="13"/>
  <c r="N54" i="13"/>
  <c r="M54" i="13"/>
  <c r="L54" i="13"/>
  <c r="O54" i="13" s="1"/>
  <c r="N49" i="13"/>
  <c r="L49" i="13"/>
  <c r="O49" i="13" s="1"/>
  <c r="L47" i="13"/>
  <c r="L46" i="13"/>
  <c r="N45" i="13"/>
  <c r="M45" i="13"/>
  <c r="N42" i="13"/>
  <c r="M42" i="13"/>
  <c r="P42" i="13" s="1"/>
  <c r="L42" i="13"/>
  <c r="O42" i="13" s="1"/>
  <c r="P36" i="13"/>
  <c r="O36" i="13"/>
  <c r="P35" i="13"/>
  <c r="O35" i="13"/>
  <c r="M34" i="13"/>
  <c r="P34" i="13" s="1"/>
  <c r="M33" i="13"/>
  <c r="P33" i="13" s="1"/>
  <c r="P32" i="13"/>
  <c r="M32" i="13"/>
  <c r="M31" i="13"/>
  <c r="P31" i="13" s="1"/>
  <c r="P30" i="13"/>
  <c r="M30" i="13"/>
  <c r="M29" i="13"/>
  <c r="N25" i="13"/>
  <c r="N15" i="13" s="1"/>
  <c r="M25" i="13"/>
  <c r="P25" i="13" s="1"/>
  <c r="L25" i="13"/>
  <c r="N24" i="13"/>
  <c r="M24" i="13"/>
  <c r="P24" i="13" s="1"/>
  <c r="P23" i="13"/>
  <c r="N23" i="13"/>
  <c r="M23" i="13"/>
  <c r="P21" i="13"/>
  <c r="N21" i="13"/>
  <c r="M21" i="13"/>
  <c r="L21" i="13"/>
  <c r="O21" i="13" s="1"/>
  <c r="M19" i="13"/>
  <c r="P19" i="13" s="1"/>
  <c r="L19" i="13"/>
  <c r="M15" i="13"/>
  <c r="P15" i="13" s="1"/>
  <c r="P14" i="13"/>
  <c r="M14" i="13"/>
  <c r="M13" i="13"/>
  <c r="P13" i="13" s="1"/>
  <c r="M11" i="13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6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O293" i="12"/>
  <c r="P291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P273" i="12" s="1"/>
  <c r="O274" i="12"/>
  <c r="O272" i="12"/>
  <c r="N272" i="12"/>
  <c r="M272" i="12"/>
  <c r="P272" i="12" s="1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L221" i="12"/>
  <c r="O221" i="12" s="1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N141" i="12"/>
  <c r="M141" i="12"/>
  <c r="L141" i="12"/>
  <c r="O141" i="12" s="1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P95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P70" i="12" s="1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N54" i="12"/>
  <c r="M54" i="12"/>
  <c r="L54" i="12"/>
  <c r="O54" i="12" s="1"/>
  <c r="N49" i="12"/>
  <c r="L49" i="12"/>
  <c r="O49" i="12" s="1"/>
  <c r="L47" i="12"/>
  <c r="L46" i="12"/>
  <c r="N45" i="12"/>
  <c r="M45" i="12"/>
  <c r="O42" i="12"/>
  <c r="N42" i="12"/>
  <c r="M42" i="12"/>
  <c r="P42" i="12" s="1"/>
  <c r="L42" i="12"/>
  <c r="P36" i="12"/>
  <c r="O36" i="12"/>
  <c r="P35" i="12"/>
  <c r="O35" i="12"/>
  <c r="M34" i="12"/>
  <c r="P34" i="12" s="1"/>
  <c r="M33" i="12"/>
  <c r="M13" i="12" s="1"/>
  <c r="P13" i="12" s="1"/>
  <c r="M32" i="12"/>
  <c r="P32" i="12" s="1"/>
  <c r="P31" i="12"/>
  <c r="M31" i="12"/>
  <c r="P30" i="12"/>
  <c r="M30" i="12"/>
  <c r="M29" i="12"/>
  <c r="N25" i="12"/>
  <c r="M25" i="12"/>
  <c r="L25" i="12"/>
  <c r="N24" i="12"/>
  <c r="M24" i="12"/>
  <c r="P24" i="12" s="1"/>
  <c r="P23" i="12"/>
  <c r="N23" i="12"/>
  <c r="M23" i="12"/>
  <c r="P21" i="12"/>
  <c r="N21" i="12"/>
  <c r="N19" i="12" s="1"/>
  <c r="M21" i="12"/>
  <c r="M19" i="12" s="1"/>
  <c r="L21" i="12"/>
  <c r="N15" i="12"/>
  <c r="M11" i="12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2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M26" i="11" s="1"/>
  <c r="M16" i="11" s="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M312" i="11" s="1"/>
  <c r="P312" i="11" s="1"/>
  <c r="O313" i="11"/>
  <c r="N311" i="11"/>
  <c r="M311" i="11"/>
  <c r="P311" i="11" s="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O291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O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P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M140" i="11" s="1"/>
  <c r="O143" i="11"/>
  <c r="P141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P67" i="11"/>
  <c r="N67" i="11"/>
  <c r="M67" i="1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O54" i="11"/>
  <c r="N54" i="11"/>
  <c r="M54" i="11"/>
  <c r="L54" i="11"/>
  <c r="N49" i="11"/>
  <c r="L49" i="11"/>
  <c r="O49" i="11" s="1"/>
  <c r="L47" i="11"/>
  <c r="L46" i="11"/>
  <c r="N45" i="11"/>
  <c r="M45" i="11"/>
  <c r="M43" i="11" s="1"/>
  <c r="P42" i="11"/>
  <c r="O42" i="11"/>
  <c r="N42" i="11"/>
  <c r="M42" i="11"/>
  <c r="L42" i="11"/>
  <c r="P36" i="11"/>
  <c r="O36" i="11"/>
  <c r="P35" i="11"/>
  <c r="O35" i="11"/>
  <c r="M34" i="11"/>
  <c r="P33" i="11"/>
  <c r="M33" i="11"/>
  <c r="P32" i="11"/>
  <c r="M32" i="11"/>
  <c r="M31" i="11"/>
  <c r="M30" i="11"/>
  <c r="P30" i="11" s="1"/>
  <c r="N25" i="11"/>
  <c r="M25" i="11"/>
  <c r="L25" i="11"/>
  <c r="O25" i="11" s="1"/>
  <c r="P24" i="11"/>
  <c r="N24" i="11"/>
  <c r="M24" i="11"/>
  <c r="P23" i="11"/>
  <c r="N23" i="11"/>
  <c r="M23" i="11"/>
  <c r="O21" i="11"/>
  <c r="N21" i="11"/>
  <c r="M21" i="11"/>
  <c r="L21" i="11"/>
  <c r="L19" i="11"/>
  <c r="O19" i="11" s="1"/>
  <c r="P13" i="11"/>
  <c r="M13" i="11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M329" i="10" s="1"/>
  <c r="O332" i="10"/>
  <c r="P330" i="10"/>
  <c r="O330" i="10"/>
  <c r="N330" i="10"/>
  <c r="M330" i="10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P291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P252" i="10" s="1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N221" i="10"/>
  <c r="M221" i="10"/>
  <c r="P221" i="10" s="1"/>
  <c r="L221" i="10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P120" i="10" s="1"/>
  <c r="O121" i="10"/>
  <c r="P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P95" i="10"/>
  <c r="N95" i="10"/>
  <c r="M95" i="10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O67" i="10"/>
  <c r="N67" i="10"/>
  <c r="M67" i="10"/>
  <c r="P67" i="10" s="1"/>
  <c r="L67" i="10"/>
  <c r="J65" i="10"/>
  <c r="I65" i="10"/>
  <c r="K65" i="10" s="1"/>
  <c r="J64" i="10"/>
  <c r="I64" i="10"/>
  <c r="K64" i="10" s="1"/>
  <c r="N61" i="10"/>
  <c r="L61" i="10"/>
  <c r="L59" i="10"/>
  <c r="L58" i="10"/>
  <c r="N57" i="10"/>
  <c r="M57" i="10"/>
  <c r="N54" i="10"/>
  <c r="M54" i="10"/>
  <c r="P54" i="10" s="1"/>
  <c r="L54" i="10"/>
  <c r="O54" i="10" s="1"/>
  <c r="N49" i="10"/>
  <c r="L49" i="10"/>
  <c r="L47" i="10"/>
  <c r="L46" i="10"/>
  <c r="N45" i="10"/>
  <c r="M45" i="10"/>
  <c r="P42" i="10"/>
  <c r="N42" i="10"/>
  <c r="M42" i="10"/>
  <c r="L42" i="10"/>
  <c r="P36" i="10"/>
  <c r="O36" i="10"/>
  <c r="P35" i="10"/>
  <c r="O35" i="10"/>
  <c r="M34" i="10"/>
  <c r="P34" i="10" s="1"/>
  <c r="P33" i="10"/>
  <c r="M33" i="10"/>
  <c r="P32" i="10"/>
  <c r="M32" i="10"/>
  <c r="M30" i="10" s="1"/>
  <c r="M31" i="10"/>
  <c r="P31" i="10" s="1"/>
  <c r="P30" i="10"/>
  <c r="O25" i="10"/>
  <c r="N25" i="10"/>
  <c r="M25" i="10"/>
  <c r="P25" i="10" s="1"/>
  <c r="L25" i="10"/>
  <c r="L19" i="10" s="1"/>
  <c r="P24" i="10"/>
  <c r="N24" i="10"/>
  <c r="M24" i="10"/>
  <c r="P23" i="10"/>
  <c r="N23" i="10"/>
  <c r="M23" i="10"/>
  <c r="M13" i="10" s="1"/>
  <c r="P13" i="10" s="1"/>
  <c r="P21" i="10"/>
  <c r="O21" i="10"/>
  <c r="N21" i="10"/>
  <c r="N19" i="10" s="1"/>
  <c r="M21" i="10"/>
  <c r="L21" i="10"/>
  <c r="P19" i="10"/>
  <c r="M19" i="10"/>
  <c r="P15" i="10"/>
  <c r="N15" i="10"/>
  <c r="M15" i="10"/>
  <c r="L15" i="10"/>
  <c r="O15" i="10" s="1"/>
  <c r="P14" i="10"/>
  <c r="M14" i="10"/>
  <c r="M11" i="10"/>
  <c r="P11" i="10" s="1"/>
  <c r="M9" i="10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2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N291" i="9"/>
  <c r="M291" i="9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O251" i="9"/>
  <c r="N251" i="9"/>
  <c r="M251" i="9"/>
  <c r="P251" i="9" s="1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N221" i="9"/>
  <c r="M221" i="9"/>
  <c r="P221" i="9" s="1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L146" i="9"/>
  <c r="L145" i="9"/>
  <c r="N144" i="9"/>
  <c r="M144" i="9"/>
  <c r="O143" i="9"/>
  <c r="O141" i="9"/>
  <c r="N141" i="9"/>
  <c r="M141" i="9"/>
  <c r="P141" i="9" s="1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P70" i="9" s="1"/>
  <c r="O69" i="9"/>
  <c r="N67" i="9"/>
  <c r="M67" i="9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N54" i="9"/>
  <c r="M54" i="9"/>
  <c r="L54" i="9"/>
  <c r="N49" i="9"/>
  <c r="L49" i="9"/>
  <c r="O49" i="9" s="1"/>
  <c r="L47" i="9"/>
  <c r="L46" i="9"/>
  <c r="N45" i="9"/>
  <c r="M45" i="9"/>
  <c r="N42" i="9"/>
  <c r="M42" i="9"/>
  <c r="L42" i="9"/>
  <c r="O42" i="9" s="1"/>
  <c r="P36" i="9"/>
  <c r="O36" i="9"/>
  <c r="P35" i="9"/>
  <c r="O35" i="9"/>
  <c r="P34" i="9"/>
  <c r="M34" i="9"/>
  <c r="M33" i="9"/>
  <c r="M32" i="9"/>
  <c r="P32" i="9" s="1"/>
  <c r="P31" i="9"/>
  <c r="M31" i="9"/>
  <c r="M29" i="9" s="1"/>
  <c r="M30" i="9"/>
  <c r="P30" i="9" s="1"/>
  <c r="P25" i="9"/>
  <c r="O25" i="9"/>
  <c r="N25" i="9"/>
  <c r="M25" i="9"/>
  <c r="L25" i="9"/>
  <c r="N24" i="9"/>
  <c r="M24" i="9"/>
  <c r="P23" i="9"/>
  <c r="N23" i="9"/>
  <c r="M23" i="9"/>
  <c r="N21" i="9"/>
  <c r="M21" i="9"/>
  <c r="L21" i="9"/>
  <c r="N19" i="9"/>
  <c r="N15" i="9"/>
  <c r="M15" i="9"/>
  <c r="P15" i="9" s="1"/>
  <c r="L15" i="9"/>
  <c r="O15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N566" i="8"/>
  <c r="L566" i="8"/>
  <c r="N565" i="8"/>
  <c r="L565" i="8"/>
  <c r="O565" i="8" s="1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M337" i="8" s="1"/>
  <c r="M26" i="8" s="1"/>
  <c r="M16" i="8" s="1"/>
  <c r="L335" i="8"/>
  <c r="L334" i="8"/>
  <c r="N333" i="8"/>
  <c r="M333" i="8"/>
  <c r="O332" i="8"/>
  <c r="P330" i="8"/>
  <c r="O330" i="8"/>
  <c r="N330" i="8"/>
  <c r="M330" i="8"/>
  <c r="L330" i="8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L316" i="8"/>
  <c r="L315" i="8"/>
  <c r="N314" i="8"/>
  <c r="M314" i="8"/>
  <c r="P314" i="8" s="1"/>
  <c r="O313" i="8"/>
  <c r="O311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P252" i="8" s="1"/>
  <c r="O253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O223" i="8"/>
  <c r="P221" i="8"/>
  <c r="O221" i="8"/>
  <c r="N221" i="8"/>
  <c r="M221" i="8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L141" i="8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P120" i="8" s="1"/>
  <c r="O121" i="8"/>
  <c r="N119" i="8"/>
  <c r="M119" i="8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O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N67" i="8"/>
  <c r="M67" i="8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P54" i="8"/>
  <c r="O54" i="8"/>
  <c r="N54" i="8"/>
  <c r="M54" i="8"/>
  <c r="L54" i="8"/>
  <c r="N49" i="8"/>
  <c r="L49" i="8"/>
  <c r="O49" i="8" s="1"/>
  <c r="L47" i="8"/>
  <c r="L46" i="8"/>
  <c r="N45" i="8"/>
  <c r="M45" i="8"/>
  <c r="P42" i="8"/>
  <c r="N42" i="8"/>
  <c r="M42" i="8"/>
  <c r="L42" i="8"/>
  <c r="O42" i="8" s="1"/>
  <c r="P36" i="8"/>
  <c r="O36" i="8"/>
  <c r="P35" i="8"/>
  <c r="O35" i="8"/>
  <c r="M34" i="8"/>
  <c r="P33" i="8"/>
  <c r="M33" i="8"/>
  <c r="P32" i="8"/>
  <c r="M32" i="8"/>
  <c r="M31" i="8"/>
  <c r="P30" i="8"/>
  <c r="M30" i="8"/>
  <c r="N25" i="8"/>
  <c r="M25" i="8"/>
  <c r="L25" i="8"/>
  <c r="O25" i="8" s="1"/>
  <c r="P24" i="8"/>
  <c r="N24" i="8"/>
  <c r="M24" i="8"/>
  <c r="P23" i="8"/>
  <c r="N23" i="8"/>
  <c r="M23" i="8"/>
  <c r="P21" i="8"/>
  <c r="O21" i="8"/>
  <c r="N21" i="8"/>
  <c r="M21" i="8"/>
  <c r="M19" i="8" s="1"/>
  <c r="L21" i="8"/>
  <c r="L19" i="8"/>
  <c r="M13" i="8"/>
  <c r="P13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5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I505" i="7"/>
  <c r="K505" i="7" s="1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M331" i="7" s="1"/>
  <c r="O332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N291" i="7"/>
  <c r="M291" i="7"/>
  <c r="P291" i="7" s="1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P141" i="7"/>
  <c r="O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M96" i="7" s="1"/>
  <c r="P96" i="7" s="1"/>
  <c r="O97" i="7"/>
  <c r="N95" i="7"/>
  <c r="M95" i="7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O67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L59" i="7"/>
  <c r="L58" i="7"/>
  <c r="N57" i="7"/>
  <c r="M57" i="7"/>
  <c r="N54" i="7"/>
  <c r="M54" i="7"/>
  <c r="L54" i="7"/>
  <c r="O54" i="7" s="1"/>
  <c r="N49" i="7"/>
  <c r="L49" i="7"/>
  <c r="M49" i="7" s="1"/>
  <c r="M26" i="7" s="1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M34" i="7"/>
  <c r="P34" i="7" s="1"/>
  <c r="P33" i="7"/>
  <c r="M33" i="7"/>
  <c r="M32" i="7"/>
  <c r="M31" i="7"/>
  <c r="P31" i="7" s="1"/>
  <c r="M29" i="7"/>
  <c r="N25" i="7"/>
  <c r="M25" i="7"/>
  <c r="P25" i="7" s="1"/>
  <c r="L25" i="7"/>
  <c r="P24" i="7"/>
  <c r="N24" i="7"/>
  <c r="M24" i="7"/>
  <c r="N23" i="7"/>
  <c r="M23" i="7"/>
  <c r="P21" i="7"/>
  <c r="O21" i="7"/>
  <c r="N21" i="7"/>
  <c r="N19" i="7" s="1"/>
  <c r="M21" i="7"/>
  <c r="L21" i="7"/>
  <c r="P19" i="7"/>
  <c r="M19" i="7"/>
  <c r="N15" i="7"/>
  <c r="M14" i="7"/>
  <c r="P14" i="7" s="1"/>
  <c r="M11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6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M26" i="6" s="1"/>
  <c r="M16" i="6" s="1"/>
  <c r="L335" i="6"/>
  <c r="L334" i="6"/>
  <c r="N333" i="6"/>
  <c r="M333" i="6"/>
  <c r="O332" i="6"/>
  <c r="N330" i="6"/>
  <c r="M330" i="6"/>
  <c r="P330" i="6" s="1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L296" i="6"/>
  <c r="L295" i="6"/>
  <c r="N294" i="6"/>
  <c r="M294" i="6"/>
  <c r="P294" i="6" s="1"/>
  <c r="O293" i="6"/>
  <c r="P291" i="6"/>
  <c r="N291" i="6"/>
  <c r="M291" i="6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O141" i="6"/>
  <c r="N141" i="6"/>
  <c r="M141" i="6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P98" i="6" s="1"/>
  <c r="O97" i="6"/>
  <c r="N95" i="6"/>
  <c r="M95" i="6"/>
  <c r="L95" i="6"/>
  <c r="O95" i="6" s="1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O67" i="6"/>
  <c r="N67" i="6"/>
  <c r="M67" i="6"/>
  <c r="P67" i="6" s="1"/>
  <c r="L67" i="6"/>
  <c r="J65" i="6"/>
  <c r="I65" i="6"/>
  <c r="J64" i="6"/>
  <c r="I64" i="6"/>
  <c r="N61" i="6"/>
  <c r="L61" i="6"/>
  <c r="O61" i="6" s="1"/>
  <c r="L59" i="6"/>
  <c r="L58" i="6"/>
  <c r="N57" i="6"/>
  <c r="M57" i="6"/>
  <c r="N54" i="6"/>
  <c r="M54" i="6"/>
  <c r="L54" i="6"/>
  <c r="O54" i="6" s="1"/>
  <c r="N49" i="6"/>
  <c r="L49" i="6"/>
  <c r="O49" i="6" s="1"/>
  <c r="L47" i="6"/>
  <c r="L46" i="6"/>
  <c r="N45" i="6"/>
  <c r="M45" i="6"/>
  <c r="N42" i="6"/>
  <c r="M42" i="6"/>
  <c r="P42" i="6" s="1"/>
  <c r="L42" i="6"/>
  <c r="O42" i="6" s="1"/>
  <c r="P36" i="6"/>
  <c r="O36" i="6"/>
  <c r="P35" i="6"/>
  <c r="O35" i="6"/>
  <c r="P34" i="6"/>
  <c r="M34" i="6"/>
  <c r="M33" i="6"/>
  <c r="P33" i="6" s="1"/>
  <c r="M32" i="6"/>
  <c r="P32" i="6" s="1"/>
  <c r="P31" i="6"/>
  <c r="M31" i="6"/>
  <c r="M30" i="6"/>
  <c r="P29" i="6"/>
  <c r="M29" i="6"/>
  <c r="P25" i="6"/>
  <c r="O25" i="6"/>
  <c r="N25" i="6"/>
  <c r="M25" i="6"/>
  <c r="L25" i="6"/>
  <c r="N24" i="6"/>
  <c r="M24" i="6"/>
  <c r="P24" i="6" s="1"/>
  <c r="N23" i="6"/>
  <c r="M23" i="6"/>
  <c r="P23" i="6" s="1"/>
  <c r="N21" i="6"/>
  <c r="M21" i="6"/>
  <c r="L21" i="6"/>
  <c r="L19" i="6" s="1"/>
  <c r="O19" i="6"/>
  <c r="N19" i="6"/>
  <c r="N15" i="6"/>
  <c r="M15" i="6"/>
  <c r="P15" i="6" s="1"/>
  <c r="L15" i="6"/>
  <c r="O15" i="6" s="1"/>
  <c r="P13" i="6"/>
  <c r="M13" i="6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4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O311" i="5"/>
  <c r="N311" i="5"/>
  <c r="M311" i="5"/>
  <c r="P311" i="5" s="1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P291" i="5"/>
  <c r="O291" i="5"/>
  <c r="N291" i="5"/>
  <c r="M291" i="5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M271" i="5" s="1"/>
  <c r="O274" i="5"/>
  <c r="N272" i="5"/>
  <c r="M272" i="5"/>
  <c r="P272" i="5" s="1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P252" i="5" s="1"/>
  <c r="O253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P224" i="5" s="1"/>
  <c r="O223" i="5"/>
  <c r="N221" i="5"/>
  <c r="M221" i="5"/>
  <c r="P221" i="5" s="1"/>
  <c r="L221" i="5"/>
  <c r="O221" i="5" s="1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N141" i="5"/>
  <c r="M141" i="5"/>
  <c r="L141" i="5"/>
  <c r="O141" i="5" s="1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N119" i="5"/>
  <c r="M119" i="5"/>
  <c r="P119" i="5" s="1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O67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L59" i="5"/>
  <c r="L58" i="5"/>
  <c r="N57" i="5"/>
  <c r="M57" i="5"/>
  <c r="N54" i="5"/>
  <c r="M54" i="5"/>
  <c r="L54" i="5"/>
  <c r="O54" i="5" s="1"/>
  <c r="N49" i="5"/>
  <c r="L49" i="5"/>
  <c r="L47" i="5"/>
  <c r="L46" i="5"/>
  <c r="N45" i="5"/>
  <c r="M45" i="5"/>
  <c r="P42" i="5"/>
  <c r="O42" i="5"/>
  <c r="N42" i="5"/>
  <c r="M42" i="5"/>
  <c r="L42" i="5"/>
  <c r="P36" i="5"/>
  <c r="O36" i="5"/>
  <c r="P35" i="5"/>
  <c r="O35" i="5"/>
  <c r="M34" i="5"/>
  <c r="P34" i="5" s="1"/>
  <c r="P33" i="5"/>
  <c r="M33" i="5"/>
  <c r="M32" i="5"/>
  <c r="M31" i="5"/>
  <c r="P31" i="5" s="1"/>
  <c r="M29" i="5"/>
  <c r="P29" i="5" s="1"/>
  <c r="N25" i="5"/>
  <c r="M25" i="5"/>
  <c r="P25" i="5" s="1"/>
  <c r="L25" i="5"/>
  <c r="O25" i="5" s="1"/>
  <c r="P24" i="5"/>
  <c r="N24" i="5"/>
  <c r="M24" i="5"/>
  <c r="N23" i="5"/>
  <c r="M23" i="5"/>
  <c r="P21" i="5"/>
  <c r="O21" i="5"/>
  <c r="N21" i="5"/>
  <c r="N19" i="5" s="1"/>
  <c r="M21" i="5"/>
  <c r="M19" i="5" s="1"/>
  <c r="L21" i="5"/>
  <c r="L19" i="5" s="1"/>
  <c r="P15" i="5"/>
  <c r="O15" i="5"/>
  <c r="N15" i="5"/>
  <c r="M15" i="5"/>
  <c r="L15" i="5"/>
  <c r="M14" i="5"/>
  <c r="P14" i="5" s="1"/>
  <c r="M11" i="5"/>
  <c r="P11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J486" i="4"/>
  <c r="I486" i="4"/>
  <c r="K486" i="4" s="1"/>
  <c r="J485" i="4"/>
  <c r="I485" i="4"/>
  <c r="K485" i="4" s="1"/>
  <c r="J484" i="4"/>
  <c r="I484" i="4"/>
  <c r="K484" i="4" s="1"/>
  <c r="J483" i="4"/>
  <c r="I483" i="4"/>
  <c r="J482" i="4"/>
  <c r="I482" i="4"/>
  <c r="J481" i="4"/>
  <c r="I481" i="4"/>
  <c r="J480" i="4"/>
  <c r="I480" i="4"/>
  <c r="K480" i="4" s="1"/>
  <c r="J479" i="4"/>
  <c r="I479" i="4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N330" i="4"/>
  <c r="M330" i="4"/>
  <c r="P330" i="4" s="1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P312" i="4" s="1"/>
  <c r="O313" i="4"/>
  <c r="O311" i="4"/>
  <c r="N311" i="4"/>
  <c r="M311" i="4"/>
  <c r="P311" i="4" s="1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P291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O141" i="4"/>
  <c r="N141" i="4"/>
  <c r="M141" i="4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L124" i="4"/>
  <c r="L123" i="4"/>
  <c r="N122" i="4"/>
  <c r="M122" i="4"/>
  <c r="O121" i="4"/>
  <c r="P119" i="4"/>
  <c r="O119" i="4"/>
  <c r="N119" i="4"/>
  <c r="M119" i="4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O95" i="4"/>
  <c r="N95" i="4"/>
  <c r="M95" i="4"/>
  <c r="P95" i="4" s="1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N67" i="4"/>
  <c r="M67" i="4"/>
  <c r="L67" i="4"/>
  <c r="O67" i="4" s="1"/>
  <c r="J65" i="4"/>
  <c r="I65" i="4"/>
  <c r="J64" i="4"/>
  <c r="I64" i="4"/>
  <c r="K64" i="4" s="1"/>
  <c r="N61" i="4"/>
  <c r="L61" i="4"/>
  <c r="O61" i="4" s="1"/>
  <c r="L59" i="4"/>
  <c r="L58" i="4"/>
  <c r="N57" i="4"/>
  <c r="M57" i="4"/>
  <c r="O54" i="4"/>
  <c r="N54" i="4"/>
  <c r="M54" i="4"/>
  <c r="P54" i="4" s="1"/>
  <c r="L54" i="4"/>
  <c r="N49" i="4"/>
  <c r="L49" i="4"/>
  <c r="M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M34" i="4"/>
  <c r="P33" i="4"/>
  <c r="M33" i="4"/>
  <c r="M32" i="4"/>
  <c r="P32" i="4" s="1"/>
  <c r="P31" i="4"/>
  <c r="M31" i="4"/>
  <c r="M29" i="4" s="1"/>
  <c r="M30" i="4"/>
  <c r="P30" i="4" s="1"/>
  <c r="N25" i="4"/>
  <c r="M25" i="4"/>
  <c r="L25" i="4"/>
  <c r="O25" i="4" s="1"/>
  <c r="P24" i="4"/>
  <c r="N24" i="4"/>
  <c r="M24" i="4"/>
  <c r="N23" i="4"/>
  <c r="M23" i="4"/>
  <c r="P23" i="4" s="1"/>
  <c r="O21" i="4"/>
  <c r="N21" i="4"/>
  <c r="N19" i="4" s="1"/>
  <c r="M21" i="4"/>
  <c r="M19" i="4" s="1"/>
  <c r="L21" i="4"/>
  <c r="O19" i="4"/>
  <c r="L19" i="4"/>
  <c r="O15" i="4"/>
  <c r="N15" i="4"/>
  <c r="L15" i="4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J511" i="3"/>
  <c r="I511" i="3"/>
  <c r="K511" i="3" s="1"/>
  <c r="J510" i="3"/>
  <c r="I510" i="3"/>
  <c r="K510" i="3" s="1"/>
  <c r="J509" i="3"/>
  <c r="I509" i="3"/>
  <c r="K509" i="3" s="1"/>
  <c r="J508" i="3"/>
  <c r="I508" i="3"/>
  <c r="J507" i="3"/>
  <c r="I507" i="3"/>
  <c r="K507" i="3" s="1"/>
  <c r="J506" i="3"/>
  <c r="I506" i="3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J489" i="3"/>
  <c r="I489" i="3"/>
  <c r="K489" i="3" s="1"/>
  <c r="J488" i="3"/>
  <c r="I488" i="3"/>
  <c r="K488" i="3" s="1"/>
  <c r="J487" i="3"/>
  <c r="I487" i="3"/>
  <c r="K487" i="3" s="1"/>
  <c r="I486" i="3"/>
  <c r="I485" i="3"/>
  <c r="K485" i="3" s="1"/>
  <c r="I484" i="3"/>
  <c r="K484" i="3" s="1"/>
  <c r="I483" i="3"/>
  <c r="K483" i="3" s="1"/>
  <c r="J482" i="3"/>
  <c r="I482" i="3"/>
  <c r="J481" i="3"/>
  <c r="I481" i="3"/>
  <c r="I480" i="3"/>
  <c r="I479" i="3"/>
  <c r="K479" i="3" s="1"/>
  <c r="I478" i="3"/>
  <c r="K478" i="3" s="1"/>
  <c r="I477" i="3"/>
  <c r="K477" i="3" s="1"/>
  <c r="I476" i="3"/>
  <c r="K476" i="3" s="1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N352" i="3"/>
  <c r="L352" i="3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M329" i="3" s="1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N311" i="3"/>
  <c r="M311" i="3"/>
  <c r="P311" i="3" s="1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O291" i="3"/>
  <c r="N291" i="3"/>
  <c r="M291" i="3"/>
  <c r="P291" i="3" s="1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P272" i="3" s="1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N221" i="3"/>
  <c r="M221" i="3"/>
  <c r="L221" i="3"/>
  <c r="J219" i="3"/>
  <c r="I219" i="3"/>
  <c r="J218" i="3"/>
  <c r="J217" i="3"/>
  <c r="J216" i="3"/>
  <c r="I216" i="3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P141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N119" i="3"/>
  <c r="M119" i="3"/>
  <c r="P119" i="3" s="1"/>
  <c r="L119" i="3"/>
  <c r="O119" i="3" s="1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O97" i="3"/>
  <c r="O95" i="3"/>
  <c r="N95" i="3"/>
  <c r="M95" i="3"/>
  <c r="L95" i="3"/>
  <c r="J93" i="3"/>
  <c r="I93" i="3"/>
  <c r="K93" i="3" s="1"/>
  <c r="J92" i="3"/>
  <c r="I92" i="3"/>
  <c r="K92" i="3" s="1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N67" i="3"/>
  <c r="M67" i="3"/>
  <c r="P67" i="3" s="1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P54" i="3"/>
  <c r="N54" i="3"/>
  <c r="M54" i="3"/>
  <c r="L54" i="3"/>
  <c r="O54" i="3" s="1"/>
  <c r="N49" i="3"/>
  <c r="L49" i="3"/>
  <c r="L47" i="3"/>
  <c r="L46" i="3"/>
  <c r="N45" i="3"/>
  <c r="M45" i="3"/>
  <c r="M43" i="3" s="1"/>
  <c r="M41" i="3" s="1"/>
  <c r="N42" i="3"/>
  <c r="M42" i="3"/>
  <c r="P42" i="3" s="1"/>
  <c r="L42" i="3"/>
  <c r="O42" i="3" s="1"/>
  <c r="P36" i="3"/>
  <c r="O36" i="3"/>
  <c r="P35" i="3"/>
  <c r="O35" i="3"/>
  <c r="P34" i="3"/>
  <c r="M34" i="3"/>
  <c r="P33" i="3"/>
  <c r="M33" i="3"/>
  <c r="M32" i="3"/>
  <c r="P31" i="3"/>
  <c r="M31" i="3"/>
  <c r="P29" i="3"/>
  <c r="M29" i="3"/>
  <c r="P25" i="3"/>
  <c r="O25" i="3"/>
  <c r="N25" i="3"/>
  <c r="M25" i="3"/>
  <c r="L25" i="3"/>
  <c r="N24" i="3"/>
  <c r="M24" i="3"/>
  <c r="P24" i="3" s="1"/>
  <c r="N23" i="3"/>
  <c r="M23" i="3"/>
  <c r="P21" i="3"/>
  <c r="N21" i="3"/>
  <c r="M21" i="3"/>
  <c r="L21" i="3"/>
  <c r="L19" i="3" s="1"/>
  <c r="N19" i="3"/>
  <c r="M19" i="3"/>
  <c r="P19" i="3" s="1"/>
  <c r="N15" i="3"/>
  <c r="M15" i="3"/>
  <c r="P15" i="3" s="1"/>
  <c r="L15" i="3"/>
  <c r="O15" i="3" s="1"/>
  <c r="M14" i="3"/>
  <c r="P14" i="3" s="1"/>
  <c r="P11" i="3"/>
  <c r="M11" i="3"/>
  <c r="M9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J595" i="2"/>
  <c r="I595" i="2"/>
  <c r="J594" i="2"/>
  <c r="I594" i="2"/>
  <c r="J593" i="2"/>
  <c r="I593" i="2"/>
  <c r="K593" i="2" s="1"/>
  <c r="J592" i="2"/>
  <c r="I592" i="2"/>
  <c r="J591" i="2"/>
  <c r="I591" i="2"/>
  <c r="K591" i="2" s="1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N582" i="2"/>
  <c r="L582" i="2"/>
  <c r="O582" i="2" s="1"/>
  <c r="N581" i="2"/>
  <c r="L581" i="2"/>
  <c r="O581" i="2" s="1"/>
  <c r="N580" i="2"/>
  <c r="L580" i="2"/>
  <c r="J580" i="2"/>
  <c r="I580" i="2"/>
  <c r="K580" i="2" s="1"/>
  <c r="J579" i="2"/>
  <c r="I579" i="2"/>
  <c r="J578" i="2"/>
  <c r="I578" i="2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3" i="2"/>
  <c r="J562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J493" i="2"/>
  <c r="I493" i="2"/>
  <c r="K493" i="2" s="1"/>
  <c r="J492" i="2"/>
  <c r="I492" i="2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P251" i="2"/>
  <c r="N251" i="2"/>
  <c r="M251" i="2"/>
  <c r="L251" i="2"/>
  <c r="O251" i="2" s="1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N221" i="2"/>
  <c r="M221" i="2"/>
  <c r="L221" i="2"/>
  <c r="J219" i="2"/>
  <c r="I219" i="2"/>
  <c r="J218" i="2"/>
  <c r="J217" i="2"/>
  <c r="J216" i="2"/>
  <c r="I216" i="2"/>
  <c r="J215" i="2"/>
  <c r="I215" i="2"/>
  <c r="K215" i="2" s="1"/>
  <c r="I213" i="2"/>
  <c r="J212" i="2"/>
  <c r="J211" i="2"/>
  <c r="J210" i="2"/>
  <c r="J209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M142" i="2" s="1"/>
  <c r="O143" i="2"/>
  <c r="O141" i="2"/>
  <c r="N141" i="2"/>
  <c r="M141" i="2"/>
  <c r="P141" i="2" s="1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N119" i="2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M102" i="2" s="1"/>
  <c r="L100" i="2"/>
  <c r="L99" i="2"/>
  <c r="N98" i="2"/>
  <c r="M98" i="2"/>
  <c r="O97" i="2"/>
  <c r="P95" i="2"/>
  <c r="N95" i="2"/>
  <c r="M95" i="2"/>
  <c r="L95" i="2"/>
  <c r="O95" i="2" s="1"/>
  <c r="J93" i="2"/>
  <c r="I93" i="2"/>
  <c r="J92" i="2"/>
  <c r="I92" i="2"/>
  <c r="J90" i="2"/>
  <c r="J89" i="2"/>
  <c r="J88" i="2"/>
  <c r="I88" i="2"/>
  <c r="K88" i="2" s="1"/>
  <c r="J87" i="2"/>
  <c r="I87" i="2"/>
  <c r="J86" i="2"/>
  <c r="I86" i="2"/>
  <c r="K86" i="2" s="1"/>
  <c r="J85" i="2"/>
  <c r="I85" i="2"/>
  <c r="K85" i="2" s="1"/>
  <c r="J84" i="2"/>
  <c r="I84" i="2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O67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N54" i="2"/>
  <c r="M54" i="2"/>
  <c r="L54" i="2"/>
  <c r="O54" i="2" s="1"/>
  <c r="N49" i="2"/>
  <c r="L49" i="2"/>
  <c r="M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P34" i="2"/>
  <c r="M34" i="2"/>
  <c r="P33" i="2"/>
  <c r="M33" i="2"/>
  <c r="P32" i="2"/>
  <c r="M32" i="2"/>
  <c r="M31" i="2"/>
  <c r="P31" i="2" s="1"/>
  <c r="P30" i="2"/>
  <c r="M30" i="2"/>
  <c r="N25" i="2"/>
  <c r="N15" i="2" s="1"/>
  <c r="M25" i="2"/>
  <c r="P25" i="2" s="1"/>
  <c r="L25" i="2"/>
  <c r="O25" i="2" s="1"/>
  <c r="P24" i="2"/>
  <c r="N24" i="2"/>
  <c r="M24" i="2"/>
  <c r="P23" i="2"/>
  <c r="N23" i="2"/>
  <c r="M23" i="2"/>
  <c r="P21" i="2"/>
  <c r="O21" i="2"/>
  <c r="N21" i="2"/>
  <c r="N19" i="2" s="1"/>
  <c r="M21" i="2"/>
  <c r="M19" i="2" s="1"/>
  <c r="L21" i="2"/>
  <c r="L19" i="2"/>
  <c r="O19" i="2" s="1"/>
  <c r="P15" i="2"/>
  <c r="M15" i="2"/>
  <c r="P14" i="2"/>
  <c r="M14" i="2"/>
  <c r="M13" i="2"/>
  <c r="P13" i="2" s="1"/>
  <c r="J563" i="1"/>
  <c r="I563" i="1"/>
  <c r="J562" i="1"/>
  <c r="I562" i="1"/>
  <c r="I548" i="1"/>
  <c r="K548" i="1" s="1"/>
  <c r="I365" i="1"/>
  <c r="K365" i="1" s="1"/>
  <c r="L336" i="1"/>
  <c r="O332" i="1"/>
  <c r="N332" i="1"/>
  <c r="M332" i="1"/>
  <c r="L332" i="1"/>
  <c r="P330" i="1"/>
  <c r="O330" i="1"/>
  <c r="N330" i="1"/>
  <c r="M330" i="1"/>
  <c r="L330" i="1"/>
  <c r="L317" i="1"/>
  <c r="L25" i="1" s="1"/>
  <c r="O313" i="1"/>
  <c r="N313" i="1"/>
  <c r="M313" i="1"/>
  <c r="L313" i="1"/>
  <c r="P311" i="1"/>
  <c r="O311" i="1"/>
  <c r="N311" i="1"/>
  <c r="M311" i="1"/>
  <c r="L311" i="1"/>
  <c r="J307" i="1"/>
  <c r="L297" i="1"/>
  <c r="N293" i="1"/>
  <c r="M293" i="1"/>
  <c r="L293" i="1"/>
  <c r="O293" i="1" s="1"/>
  <c r="P291" i="1"/>
  <c r="N291" i="1"/>
  <c r="M291" i="1"/>
  <c r="L291" i="1"/>
  <c r="O291" i="1" s="1"/>
  <c r="L278" i="1"/>
  <c r="N274" i="1"/>
  <c r="M274" i="1"/>
  <c r="L274" i="1"/>
  <c r="O274" i="1" s="1"/>
  <c r="N272" i="1"/>
  <c r="M272" i="1"/>
  <c r="P272" i="1" s="1"/>
  <c r="L272" i="1"/>
  <c r="O272" i="1" s="1"/>
  <c r="L257" i="1"/>
  <c r="O253" i="1"/>
  <c r="N253" i="1"/>
  <c r="M253" i="1"/>
  <c r="L253" i="1"/>
  <c r="O251" i="1"/>
  <c r="N251" i="1"/>
  <c r="M251" i="1"/>
  <c r="P251" i="1" s="1"/>
  <c r="L251" i="1"/>
  <c r="J240" i="1"/>
  <c r="L227" i="1"/>
  <c r="N223" i="1"/>
  <c r="M223" i="1"/>
  <c r="L223" i="1"/>
  <c r="O223" i="1" s="1"/>
  <c r="P221" i="1"/>
  <c r="N221" i="1"/>
  <c r="M221" i="1"/>
  <c r="L221" i="1"/>
  <c r="O221" i="1" s="1"/>
  <c r="J214" i="1"/>
  <c r="I214" i="1"/>
  <c r="J198" i="1"/>
  <c r="L147" i="1"/>
  <c r="N143" i="1"/>
  <c r="M143" i="1"/>
  <c r="L143" i="1"/>
  <c r="O143" i="1" s="1"/>
  <c r="P141" i="1"/>
  <c r="O141" i="1"/>
  <c r="N141" i="1"/>
  <c r="M141" i="1"/>
  <c r="L141" i="1"/>
  <c r="L125" i="1"/>
  <c r="O121" i="1"/>
  <c r="N121" i="1"/>
  <c r="M121" i="1"/>
  <c r="L121" i="1"/>
  <c r="O119" i="1"/>
  <c r="N119" i="1"/>
  <c r="M119" i="1"/>
  <c r="P119" i="1" s="1"/>
  <c r="L119" i="1"/>
  <c r="L101" i="1"/>
  <c r="N97" i="1"/>
  <c r="N21" i="1" s="1"/>
  <c r="M97" i="1"/>
  <c r="L97" i="1"/>
  <c r="O97" i="1" s="1"/>
  <c r="P95" i="1"/>
  <c r="O95" i="1"/>
  <c r="N95" i="1"/>
  <c r="M95" i="1"/>
  <c r="L95" i="1"/>
  <c r="L73" i="1"/>
  <c r="N69" i="1"/>
  <c r="M69" i="1"/>
  <c r="M21" i="1" s="1"/>
  <c r="L69" i="1"/>
  <c r="O69" i="1" s="1"/>
  <c r="P67" i="1"/>
  <c r="O67" i="1"/>
  <c r="N67" i="1"/>
  <c r="M67" i="1"/>
  <c r="L67" i="1"/>
  <c r="L60" i="1"/>
  <c r="L56" i="1"/>
  <c r="P54" i="1"/>
  <c r="O54" i="1"/>
  <c r="N54" i="1"/>
  <c r="M54" i="1"/>
  <c r="L54" i="1"/>
  <c r="L48" i="1"/>
  <c r="L44" i="1"/>
  <c r="N42" i="1"/>
  <c r="M42" i="1"/>
  <c r="P42" i="1" s="1"/>
  <c r="L42" i="1"/>
  <c r="O42" i="1" s="1"/>
  <c r="P36" i="1"/>
  <c r="O36" i="1"/>
  <c r="P35" i="1"/>
  <c r="O35" i="1"/>
  <c r="P34" i="1"/>
  <c r="M34" i="1"/>
  <c r="M33" i="1"/>
  <c r="P33" i="1" s="1"/>
  <c r="M32" i="1"/>
  <c r="M30" i="1" s="1"/>
  <c r="P31" i="1"/>
  <c r="M31" i="1"/>
  <c r="P29" i="1"/>
  <c r="M29" i="1"/>
  <c r="P25" i="1"/>
  <c r="N25" i="1"/>
  <c r="M25" i="1"/>
  <c r="N24" i="1"/>
  <c r="M24" i="1"/>
  <c r="P24" i="1" s="1"/>
  <c r="N23" i="1"/>
  <c r="M23" i="1"/>
  <c r="P23" i="1" s="1"/>
  <c r="L21" i="1"/>
  <c r="N15" i="1"/>
  <c r="M15" i="1"/>
  <c r="P15" i="1" s="1"/>
  <c r="K416" i="22" l="1"/>
  <c r="O597" i="9"/>
  <c r="O601" i="9"/>
  <c r="K631" i="9"/>
  <c r="K435" i="21"/>
  <c r="K473" i="21"/>
  <c r="K481" i="21"/>
  <c r="K631" i="21"/>
  <c r="N222" i="10"/>
  <c r="N220" i="10" s="1"/>
  <c r="N142" i="9"/>
  <c r="N140" i="9" s="1"/>
  <c r="O533" i="7"/>
  <c r="K429" i="8"/>
  <c r="L314" i="4"/>
  <c r="O314" i="4" s="1"/>
  <c r="O537" i="4"/>
  <c r="K562" i="22"/>
  <c r="K199" i="16"/>
  <c r="L224" i="16"/>
  <c r="O224" i="16" s="1"/>
  <c r="K199" i="11"/>
  <c r="K421" i="19"/>
  <c r="K425" i="19"/>
  <c r="K429" i="19"/>
  <c r="K455" i="19"/>
  <c r="K464" i="19"/>
  <c r="K108" i="2"/>
  <c r="K112" i="12"/>
  <c r="O459" i="5"/>
  <c r="K630" i="19"/>
  <c r="K625" i="20"/>
  <c r="O383" i="19"/>
  <c r="N96" i="4"/>
  <c r="N94" i="4" s="1"/>
  <c r="K424" i="7"/>
  <c r="K432" i="7"/>
  <c r="K432" i="13"/>
  <c r="N120" i="3"/>
  <c r="N118" i="3" s="1"/>
  <c r="L435" i="1"/>
  <c r="K623" i="22"/>
  <c r="K189" i="9"/>
  <c r="K200" i="9"/>
  <c r="N222" i="7"/>
  <c r="N220" i="7" s="1"/>
  <c r="O385" i="21"/>
  <c r="K547" i="21"/>
  <c r="O568" i="21"/>
  <c r="K430" i="6"/>
  <c r="K465" i="6"/>
  <c r="K563" i="6"/>
  <c r="O566" i="6"/>
  <c r="J481" i="1"/>
  <c r="K617" i="3"/>
  <c r="L59" i="1"/>
  <c r="N102" i="1"/>
  <c r="J109" i="1"/>
  <c r="J113" i="1"/>
  <c r="K564" i="4"/>
  <c r="N331" i="13"/>
  <c r="N329" i="13" s="1"/>
  <c r="J420" i="1"/>
  <c r="I497" i="1"/>
  <c r="L597" i="1"/>
  <c r="J86" i="1"/>
  <c r="J92" i="1"/>
  <c r="L144" i="2"/>
  <c r="O144" i="2" s="1"/>
  <c r="N258" i="1"/>
  <c r="I173" i="1"/>
  <c r="I465" i="1"/>
  <c r="K616" i="17"/>
  <c r="K149" i="18"/>
  <c r="O337" i="20"/>
  <c r="K533" i="3"/>
  <c r="K564" i="8"/>
  <c r="M294" i="1"/>
  <c r="J302" i="1"/>
  <c r="O535" i="18"/>
  <c r="K562" i="18"/>
  <c r="K580" i="18"/>
  <c r="K597" i="18"/>
  <c r="L45" i="19"/>
  <c r="O45" i="19" s="1"/>
  <c r="K629" i="20"/>
  <c r="K633" i="20"/>
  <c r="J473" i="1"/>
  <c r="I516" i="1"/>
  <c r="I630" i="1"/>
  <c r="J493" i="1"/>
  <c r="O347" i="11"/>
  <c r="N438" i="1"/>
  <c r="J323" i="1"/>
  <c r="N144" i="1"/>
  <c r="K628" i="7"/>
  <c r="K418" i="16"/>
  <c r="K430" i="16"/>
  <c r="K435" i="16"/>
  <c r="K563" i="16"/>
  <c r="J287" i="1"/>
  <c r="N405" i="1"/>
  <c r="I110" i="1"/>
  <c r="J399" i="1"/>
  <c r="J397" i="1"/>
  <c r="N312" i="4"/>
  <c r="N310" i="4" s="1"/>
  <c r="K449" i="4"/>
  <c r="O568" i="7"/>
  <c r="O383" i="11"/>
  <c r="K422" i="11"/>
  <c r="K419" i="4"/>
  <c r="K431" i="4"/>
  <c r="K149" i="6"/>
  <c r="K164" i="7"/>
  <c r="K619" i="20"/>
  <c r="K632" i="20"/>
  <c r="K132" i="21"/>
  <c r="K173" i="21"/>
  <c r="K189" i="21"/>
  <c r="K200" i="21"/>
  <c r="K421" i="21"/>
  <c r="K425" i="21"/>
  <c r="K424" i="3"/>
  <c r="N441" i="1"/>
  <c r="J579" i="1"/>
  <c r="N407" i="1"/>
  <c r="I416" i="1"/>
  <c r="L254" i="6"/>
  <c r="L252" i="6" s="1"/>
  <c r="L314" i="6"/>
  <c r="O314" i="6" s="1"/>
  <c r="O406" i="15"/>
  <c r="M98" i="1"/>
  <c r="N122" i="1"/>
  <c r="J156" i="1"/>
  <c r="J184" i="1"/>
  <c r="J189" i="1"/>
  <c r="J216" i="1"/>
  <c r="I229" i="1"/>
  <c r="J236" i="1"/>
  <c r="L276" i="1"/>
  <c r="I306" i="1"/>
  <c r="J339" i="1"/>
  <c r="J343" i="1"/>
  <c r="N347" i="1"/>
  <c r="I634" i="1"/>
  <c r="I200" i="1"/>
  <c r="J269" i="1"/>
  <c r="N275" i="1"/>
  <c r="J320" i="1"/>
  <c r="K343" i="4"/>
  <c r="K630" i="9"/>
  <c r="O437" i="11"/>
  <c r="K634" i="19"/>
  <c r="I117" i="1"/>
  <c r="J173" i="1"/>
  <c r="J210" i="1"/>
  <c r="J157" i="1"/>
  <c r="L144" i="3"/>
  <c r="O144" i="3" s="1"/>
  <c r="I270" i="1"/>
  <c r="N96" i="5"/>
  <c r="N94" i="5" s="1"/>
  <c r="N142" i="5"/>
  <c r="N140" i="5" s="1"/>
  <c r="J85" i="1"/>
  <c r="J106" i="1"/>
  <c r="J138" i="1"/>
  <c r="J163" i="1"/>
  <c r="J200" i="1"/>
  <c r="I418" i="1"/>
  <c r="J104" i="1"/>
  <c r="J114" i="1"/>
  <c r="L296" i="1"/>
  <c r="N222" i="9"/>
  <c r="N220" i="9" s="1"/>
  <c r="J489" i="1"/>
  <c r="K564" i="19"/>
  <c r="K573" i="19"/>
  <c r="K591" i="19"/>
  <c r="J262" i="1"/>
  <c r="J308" i="1"/>
  <c r="J497" i="1"/>
  <c r="J521" i="1"/>
  <c r="J577" i="1"/>
  <c r="N597" i="1"/>
  <c r="J622" i="1"/>
  <c r="J201" i="1"/>
  <c r="J218" i="1"/>
  <c r="J445" i="1"/>
  <c r="N535" i="1"/>
  <c r="J576" i="1"/>
  <c r="J87" i="1"/>
  <c r="K465" i="5"/>
  <c r="L70" i="14"/>
  <c r="O70" i="14" s="1"/>
  <c r="P122" i="16"/>
  <c r="L384" i="1"/>
  <c r="O384" i="1" s="1"/>
  <c r="L315" i="1"/>
  <c r="J391" i="1"/>
  <c r="I423" i="1"/>
  <c r="I431" i="1"/>
  <c r="I482" i="1"/>
  <c r="L533" i="1"/>
  <c r="K632" i="3"/>
  <c r="J130" i="1"/>
  <c r="K285" i="4"/>
  <c r="K547" i="12"/>
  <c r="K117" i="21"/>
  <c r="I469" i="1"/>
  <c r="K469" i="1" s="1"/>
  <c r="I381" i="1"/>
  <c r="J393" i="1"/>
  <c r="K498" i="3"/>
  <c r="O435" i="4"/>
  <c r="N55" i="6"/>
  <c r="N53" i="6" s="1"/>
  <c r="N120" i="8"/>
  <c r="N118" i="8" s="1"/>
  <c r="M292" i="10"/>
  <c r="M290" i="10" s="1"/>
  <c r="P290" i="10" s="1"/>
  <c r="K372" i="12"/>
  <c r="K427" i="12"/>
  <c r="O435" i="12"/>
  <c r="K474" i="12"/>
  <c r="M68" i="14"/>
  <c r="P68" i="14" s="1"/>
  <c r="K372" i="15"/>
  <c r="K376" i="15"/>
  <c r="O380" i="15"/>
  <c r="L122" i="16"/>
  <c r="O122" i="16" s="1"/>
  <c r="K616" i="16"/>
  <c r="K64" i="17"/>
  <c r="P70" i="17"/>
  <c r="L122" i="17"/>
  <c r="L120" i="17" s="1"/>
  <c r="K132" i="17"/>
  <c r="K422" i="17"/>
  <c r="K631" i="17"/>
  <c r="K635" i="17"/>
  <c r="K398" i="18"/>
  <c r="O406" i="18"/>
  <c r="K632" i="19"/>
  <c r="I504" i="1"/>
  <c r="K504" i="1" s="1"/>
  <c r="J400" i="1"/>
  <c r="N403" i="1"/>
  <c r="J432" i="1"/>
  <c r="J479" i="1"/>
  <c r="J515" i="1"/>
  <c r="J519" i="1"/>
  <c r="J523" i="1"/>
  <c r="J527" i="1"/>
  <c r="J531" i="1"/>
  <c r="J547" i="1"/>
  <c r="N568" i="1"/>
  <c r="K86" i="3"/>
  <c r="K420" i="3"/>
  <c r="K633" i="3"/>
  <c r="K466" i="4"/>
  <c r="O49" i="5"/>
  <c r="K368" i="5"/>
  <c r="K431" i="6"/>
  <c r="O535" i="7"/>
  <c r="K597" i="7"/>
  <c r="P122" i="8"/>
  <c r="K375" i="8"/>
  <c r="L122" i="13"/>
  <c r="O122" i="13" s="1"/>
  <c r="K634" i="13"/>
  <c r="O385" i="16"/>
  <c r="O568" i="18"/>
  <c r="K629" i="18"/>
  <c r="K424" i="19"/>
  <c r="K428" i="19"/>
  <c r="K432" i="19"/>
  <c r="O401" i="20"/>
  <c r="K422" i="20"/>
  <c r="K426" i="20"/>
  <c r="K430" i="20"/>
  <c r="K435" i="20"/>
  <c r="L254" i="22"/>
  <c r="O254" i="22" s="1"/>
  <c r="O599" i="22"/>
  <c r="K629" i="22"/>
  <c r="M70" i="1"/>
  <c r="N98" i="1"/>
  <c r="L123" i="1"/>
  <c r="L146" i="1"/>
  <c r="I164" i="1"/>
  <c r="J174" i="1"/>
  <c r="J194" i="1"/>
  <c r="J211" i="1"/>
  <c r="J217" i="1"/>
  <c r="M312" i="3"/>
  <c r="P312" i="3" s="1"/>
  <c r="M96" i="6"/>
  <c r="P96" i="6" s="1"/>
  <c r="L144" i="7"/>
  <c r="O144" i="7" s="1"/>
  <c r="N96" i="14"/>
  <c r="N94" i="14" s="1"/>
  <c r="K377" i="15"/>
  <c r="K419" i="15"/>
  <c r="K401" i="19"/>
  <c r="K625" i="21"/>
  <c r="N331" i="22"/>
  <c r="N329" i="22" s="1"/>
  <c r="I340" i="1"/>
  <c r="K630" i="2"/>
  <c r="N96" i="3"/>
  <c r="N94" i="3" s="1"/>
  <c r="K138" i="5"/>
  <c r="I346" i="1"/>
  <c r="K346" i="1" s="1"/>
  <c r="I485" i="1"/>
  <c r="K485" i="1" s="1"/>
  <c r="K464" i="11"/>
  <c r="K396" i="12"/>
  <c r="K401" i="12"/>
  <c r="K464" i="12"/>
  <c r="L144" i="14"/>
  <c r="O144" i="14" s="1"/>
  <c r="K235" i="15"/>
  <c r="K370" i="15"/>
  <c r="K396" i="15"/>
  <c r="K420" i="15"/>
  <c r="K424" i="15"/>
  <c r="O599" i="15"/>
  <c r="K634" i="16"/>
  <c r="L57" i="17"/>
  <c r="O57" i="17" s="1"/>
  <c r="O564" i="17"/>
  <c r="O568" i="17"/>
  <c r="K622" i="17"/>
  <c r="K328" i="18"/>
  <c r="K563" i="22"/>
  <c r="J112" i="1"/>
  <c r="J232" i="1"/>
  <c r="N279" i="1"/>
  <c r="J505" i="1"/>
  <c r="L47" i="1"/>
  <c r="J158" i="1"/>
  <c r="J321" i="1"/>
  <c r="J360" i="1"/>
  <c r="J465" i="1"/>
  <c r="J509" i="1"/>
  <c r="L456" i="1"/>
  <c r="O456" i="1" s="1"/>
  <c r="I590" i="1"/>
  <c r="K590" i="1" s="1"/>
  <c r="J133" i="1"/>
  <c r="J219" i="1"/>
  <c r="P294" i="2"/>
  <c r="I309" i="1"/>
  <c r="L335" i="1"/>
  <c r="K398" i="2"/>
  <c r="K562" i="4"/>
  <c r="N68" i="5"/>
  <c r="N66" i="5" s="1"/>
  <c r="K112" i="5"/>
  <c r="O347" i="10"/>
  <c r="O580" i="12"/>
  <c r="K635" i="12"/>
  <c r="K547" i="14"/>
  <c r="O568" i="14"/>
  <c r="O401" i="15"/>
  <c r="K425" i="15"/>
  <c r="O437" i="15"/>
  <c r="K173" i="16"/>
  <c r="K631" i="18"/>
  <c r="J76" i="1"/>
  <c r="J490" i="1"/>
  <c r="L537" i="1"/>
  <c r="I615" i="1"/>
  <c r="I623" i="1"/>
  <c r="J196" i="1"/>
  <c r="L255" i="1"/>
  <c r="J283" i="1"/>
  <c r="I425" i="1"/>
  <c r="N460" i="1"/>
  <c r="J525" i="1"/>
  <c r="J529" i="1"/>
  <c r="J590" i="1"/>
  <c r="J594" i="1"/>
  <c r="J84" i="1"/>
  <c r="K435" i="10"/>
  <c r="K423" i="11"/>
  <c r="K473" i="11"/>
  <c r="K617" i="21"/>
  <c r="M68" i="12"/>
  <c r="P68" i="12" s="1"/>
  <c r="K421" i="14"/>
  <c r="L70" i="19"/>
  <c r="O70" i="19" s="1"/>
  <c r="P314" i="20"/>
  <c r="J266" i="1"/>
  <c r="K350" i="4"/>
  <c r="J520" i="1"/>
  <c r="N570" i="1"/>
  <c r="J597" i="1"/>
  <c r="J630" i="1"/>
  <c r="O601" i="6"/>
  <c r="P254" i="8"/>
  <c r="K573" i="11"/>
  <c r="K173" i="13"/>
  <c r="K216" i="13"/>
  <c r="O597" i="16"/>
  <c r="K473" i="19"/>
  <c r="K418" i="2"/>
  <c r="K473" i="2"/>
  <c r="O597" i="2"/>
  <c r="P144" i="5"/>
  <c r="K635" i="5"/>
  <c r="L45" i="6"/>
  <c r="O45" i="6" s="1"/>
  <c r="K397" i="12"/>
  <c r="N142" i="2"/>
  <c r="P142" i="2" s="1"/>
  <c r="N222" i="2"/>
  <c r="N220" i="2" s="1"/>
  <c r="K611" i="8"/>
  <c r="L224" i="9"/>
  <c r="O224" i="9" s="1"/>
  <c r="K138" i="10"/>
  <c r="K428" i="10"/>
  <c r="K573" i="10"/>
  <c r="N68" i="16"/>
  <c r="N66" i="16" s="1"/>
  <c r="K343" i="19"/>
  <c r="O347" i="19"/>
  <c r="P314" i="5"/>
  <c r="K229" i="7"/>
  <c r="L46" i="1"/>
  <c r="M57" i="1"/>
  <c r="M55" i="1" s="1"/>
  <c r="J79" i="1"/>
  <c r="L334" i="1"/>
  <c r="N603" i="1"/>
  <c r="I158" i="1"/>
  <c r="J164" i="1"/>
  <c r="J212" i="1"/>
  <c r="J373" i="1"/>
  <c r="J474" i="1"/>
  <c r="J506" i="1"/>
  <c r="N126" i="1"/>
  <c r="N96" i="20"/>
  <c r="N94" i="20" s="1"/>
  <c r="J634" i="1"/>
  <c r="O537" i="5"/>
  <c r="L275" i="7"/>
  <c r="O275" i="7" s="1"/>
  <c r="K612" i="8"/>
  <c r="J478" i="1"/>
  <c r="J510" i="1"/>
  <c r="J530" i="1"/>
  <c r="K349" i="10"/>
  <c r="K64" i="13"/>
  <c r="K80" i="17"/>
  <c r="K417" i="18"/>
  <c r="K421" i="18"/>
  <c r="K425" i="18"/>
  <c r="O437" i="18"/>
  <c r="K349" i="19"/>
  <c r="O385" i="2"/>
  <c r="J187" i="1"/>
  <c r="I199" i="1"/>
  <c r="I204" i="1"/>
  <c r="N337" i="1"/>
  <c r="N354" i="1"/>
  <c r="K427" i="3"/>
  <c r="O439" i="3"/>
  <c r="J635" i="1"/>
  <c r="I92" i="1"/>
  <c r="J235" i="1"/>
  <c r="J243" i="1"/>
  <c r="K289" i="5"/>
  <c r="K377" i="5"/>
  <c r="N32" i="5"/>
  <c r="N30" i="5" s="1"/>
  <c r="J499" i="1"/>
  <c r="I547" i="1"/>
  <c r="J231" i="1"/>
  <c r="J286" i="1"/>
  <c r="J344" i="1"/>
  <c r="J455" i="1"/>
  <c r="J472" i="1"/>
  <c r="J488" i="1"/>
  <c r="I520" i="1"/>
  <c r="I532" i="1"/>
  <c r="N540" i="1"/>
  <c r="N569" i="1"/>
  <c r="O533" i="14"/>
  <c r="K200" i="15"/>
  <c r="K425" i="16"/>
  <c r="L122" i="19"/>
  <c r="O122" i="19" s="1"/>
  <c r="N312" i="22"/>
  <c r="N310" i="22" s="1"/>
  <c r="P224" i="8"/>
  <c r="M222" i="8"/>
  <c r="M220" i="8" s="1"/>
  <c r="P220" i="8" s="1"/>
  <c r="I83" i="1"/>
  <c r="I478" i="1"/>
  <c r="K478" i="1" s="1"/>
  <c r="I264" i="1"/>
  <c r="J108" i="1"/>
  <c r="L148" i="1"/>
  <c r="O148" i="1" s="1"/>
  <c r="I344" i="1"/>
  <c r="K344" i="1" s="1"/>
  <c r="I496" i="1"/>
  <c r="K496" i="1" s="1"/>
  <c r="I511" i="1"/>
  <c r="K511" i="1" s="1"/>
  <c r="J81" i="1"/>
  <c r="J516" i="1"/>
  <c r="J524" i="1"/>
  <c r="J528" i="1"/>
  <c r="J532" i="1"/>
  <c r="N565" i="1"/>
  <c r="J580" i="1"/>
  <c r="K264" i="4"/>
  <c r="J498" i="1"/>
  <c r="M68" i="8"/>
  <c r="M66" i="8" s="1"/>
  <c r="P66" i="8" s="1"/>
  <c r="P70" i="8"/>
  <c r="O599" i="8"/>
  <c r="P224" i="9"/>
  <c r="K369" i="19"/>
  <c r="I367" i="19"/>
  <c r="K367" i="19" s="1"/>
  <c r="I133" i="1"/>
  <c r="I219" i="1"/>
  <c r="L102" i="1"/>
  <c r="L61" i="1"/>
  <c r="O61" i="1" s="1"/>
  <c r="I86" i="1"/>
  <c r="I109" i="1"/>
  <c r="N148" i="1"/>
  <c r="I238" i="1"/>
  <c r="K238" i="1" s="1"/>
  <c r="M275" i="1"/>
  <c r="I466" i="1"/>
  <c r="I514" i="1"/>
  <c r="K514" i="1" s="1"/>
  <c r="L555" i="1"/>
  <c r="I632" i="1"/>
  <c r="J426" i="1"/>
  <c r="J430" i="1"/>
  <c r="J435" i="1"/>
  <c r="J446" i="1"/>
  <c r="N459" i="1"/>
  <c r="J485" i="1"/>
  <c r="K199" i="4"/>
  <c r="K204" i="4"/>
  <c r="K215" i="4"/>
  <c r="N604" i="1"/>
  <c r="I612" i="1"/>
  <c r="N68" i="7"/>
  <c r="N66" i="7" s="1"/>
  <c r="K229" i="11"/>
  <c r="L275" i="11"/>
  <c r="O275" i="11" s="1"/>
  <c r="K149" i="16"/>
  <c r="K219" i="16"/>
  <c r="K92" i="19"/>
  <c r="I370" i="1"/>
  <c r="P314" i="22"/>
  <c r="M312" i="22"/>
  <c r="P312" i="22" s="1"/>
  <c r="I186" i="1"/>
  <c r="I304" i="1"/>
  <c r="N351" i="1"/>
  <c r="I396" i="1"/>
  <c r="N224" i="1"/>
  <c r="I503" i="1"/>
  <c r="K503" i="1" s="1"/>
  <c r="L582" i="1"/>
  <c r="K149" i="7"/>
  <c r="K396" i="10"/>
  <c r="I84" i="1"/>
  <c r="J169" i="1"/>
  <c r="J328" i="1"/>
  <c r="I341" i="1"/>
  <c r="N409" i="1"/>
  <c r="J428" i="1"/>
  <c r="J449" i="1"/>
  <c r="M96" i="14"/>
  <c r="P96" i="14" s="1"/>
  <c r="P98" i="14"/>
  <c r="K381" i="14"/>
  <c r="O385" i="17"/>
  <c r="L405" i="1"/>
  <c r="O405" i="1" s="1"/>
  <c r="L72" i="1"/>
  <c r="J80" i="1"/>
  <c r="N254" i="1"/>
  <c r="J263" i="1"/>
  <c r="J267" i="1"/>
  <c r="J322" i="1"/>
  <c r="J543" i="1"/>
  <c r="L553" i="1"/>
  <c r="N558" i="1"/>
  <c r="L566" i="1"/>
  <c r="N571" i="1"/>
  <c r="L99" i="1"/>
  <c r="N252" i="3"/>
  <c r="N250" i="3" s="1"/>
  <c r="N252" i="11"/>
  <c r="N250" i="11" s="1"/>
  <c r="K573" i="13"/>
  <c r="J377" i="1"/>
  <c r="J234" i="1"/>
  <c r="N292" i="2"/>
  <c r="N290" i="2" s="1"/>
  <c r="J501" i="1"/>
  <c r="J513" i="1"/>
  <c r="J517" i="1"/>
  <c r="J533" i="1"/>
  <c r="N385" i="1"/>
  <c r="J394" i="1"/>
  <c r="J544" i="1"/>
  <c r="J550" i="1"/>
  <c r="N559" i="1"/>
  <c r="N566" i="1"/>
  <c r="N572" i="1"/>
  <c r="N584" i="1"/>
  <c r="I455" i="1"/>
  <c r="K482" i="4"/>
  <c r="N57" i="1"/>
  <c r="J65" i="1"/>
  <c r="L71" i="1"/>
  <c r="I149" i="1"/>
  <c r="J186" i="1"/>
  <c r="J241" i="1"/>
  <c r="J249" i="1"/>
  <c r="P275" i="5"/>
  <c r="M333" i="1"/>
  <c r="K340" i="5"/>
  <c r="O564" i="5"/>
  <c r="K629" i="5"/>
  <c r="O347" i="6"/>
  <c r="N539" i="1"/>
  <c r="N551" i="1"/>
  <c r="J575" i="1"/>
  <c r="L70" i="7"/>
  <c r="O70" i="7" s="1"/>
  <c r="K630" i="7"/>
  <c r="L31" i="8"/>
  <c r="L29" i="8" s="1"/>
  <c r="K432" i="8"/>
  <c r="L122" i="9"/>
  <c r="O122" i="9" s="1"/>
  <c r="K432" i="9"/>
  <c r="O564" i="9"/>
  <c r="O599" i="9"/>
  <c r="K633" i="9"/>
  <c r="K416" i="10"/>
  <c r="K420" i="10"/>
  <c r="O537" i="10"/>
  <c r="K632" i="10"/>
  <c r="L294" i="12"/>
  <c r="O294" i="12" s="1"/>
  <c r="L314" i="12"/>
  <c r="L312" i="12" s="1"/>
  <c r="L310" i="12" s="1"/>
  <c r="O310" i="12" s="1"/>
  <c r="O354" i="12"/>
  <c r="K430" i="13"/>
  <c r="O566" i="13"/>
  <c r="O597" i="14"/>
  <c r="O601" i="14"/>
  <c r="K219" i="15"/>
  <c r="N312" i="17"/>
  <c r="N310" i="17" s="1"/>
  <c r="K402" i="17"/>
  <c r="K432" i="18"/>
  <c r="K267" i="19"/>
  <c r="K593" i="19"/>
  <c r="K597" i="19"/>
  <c r="K451" i="21"/>
  <c r="N358" i="1"/>
  <c r="J366" i="1"/>
  <c r="I375" i="1"/>
  <c r="I380" i="1"/>
  <c r="I397" i="1"/>
  <c r="K397" i="1" s="1"/>
  <c r="N458" i="1"/>
  <c r="J468" i="1"/>
  <c r="N600" i="1"/>
  <c r="J608" i="1"/>
  <c r="J613" i="1"/>
  <c r="J617" i="1"/>
  <c r="J621" i="1"/>
  <c r="J625" i="1"/>
  <c r="N228" i="1"/>
  <c r="N318" i="1"/>
  <c r="J326" i="1"/>
  <c r="O347" i="3"/>
  <c r="K113" i="4"/>
  <c r="O580" i="4"/>
  <c r="J609" i="1"/>
  <c r="I614" i="1"/>
  <c r="I618" i="1"/>
  <c r="I622" i="1"/>
  <c r="I626" i="1"/>
  <c r="K199" i="5"/>
  <c r="K204" i="5"/>
  <c r="K215" i="5"/>
  <c r="K270" i="5"/>
  <c r="K464" i="6"/>
  <c r="L57" i="7"/>
  <c r="L55" i="7" s="1"/>
  <c r="O380" i="7"/>
  <c r="O435" i="7"/>
  <c r="O439" i="7"/>
  <c r="O597" i="7"/>
  <c r="O601" i="7"/>
  <c r="K635" i="7"/>
  <c r="K270" i="8"/>
  <c r="K417" i="8"/>
  <c r="K421" i="8"/>
  <c r="K547" i="8"/>
  <c r="K370" i="10"/>
  <c r="K340" i="11"/>
  <c r="K630" i="11"/>
  <c r="K634" i="11"/>
  <c r="K432" i="12"/>
  <c r="K595" i="12"/>
  <c r="K423" i="13"/>
  <c r="O601" i="13"/>
  <c r="K149" i="15"/>
  <c r="O533" i="15"/>
  <c r="O406" i="16"/>
  <c r="K635" i="16"/>
  <c r="K82" i="17"/>
  <c r="L314" i="17"/>
  <c r="O314" i="17" s="1"/>
  <c r="K466" i="17"/>
  <c r="K482" i="17"/>
  <c r="K304" i="18"/>
  <c r="K199" i="19"/>
  <c r="O566" i="20"/>
  <c r="O597" i="20"/>
  <c r="K368" i="21"/>
  <c r="K372" i="21"/>
  <c r="O380" i="21"/>
  <c r="K398" i="21"/>
  <c r="K402" i="21"/>
  <c r="K423" i="21"/>
  <c r="K482" i="21"/>
  <c r="O533" i="21"/>
  <c r="K632" i="21"/>
  <c r="O349" i="22"/>
  <c r="L33" i="22"/>
  <c r="O33" i="22" s="1"/>
  <c r="K597" i="22"/>
  <c r="N602" i="1"/>
  <c r="I611" i="1"/>
  <c r="I619" i="1"/>
  <c r="K80" i="3"/>
  <c r="O568" i="3"/>
  <c r="M122" i="1"/>
  <c r="I138" i="1"/>
  <c r="J183" i="1"/>
  <c r="K349" i="4"/>
  <c r="K84" i="6"/>
  <c r="K164" i="6"/>
  <c r="J245" i="1"/>
  <c r="J260" i="1"/>
  <c r="J300" i="1"/>
  <c r="O349" i="6"/>
  <c r="K499" i="7"/>
  <c r="K611" i="7"/>
  <c r="L144" i="12"/>
  <c r="O144" i="12" s="1"/>
  <c r="K547" i="13"/>
  <c r="O49" i="14"/>
  <c r="L254" i="14"/>
  <c r="O254" i="14" s="1"/>
  <c r="L294" i="14"/>
  <c r="O294" i="14" s="1"/>
  <c r="K429" i="14"/>
  <c r="K455" i="14"/>
  <c r="K417" i="17"/>
  <c r="K612" i="17"/>
  <c r="K614" i="19"/>
  <c r="O599" i="21"/>
  <c r="J419" i="1"/>
  <c r="J423" i="1"/>
  <c r="J427" i="1"/>
  <c r="J431" i="1"/>
  <c r="N439" i="1"/>
  <c r="J452" i="1"/>
  <c r="N456" i="1"/>
  <c r="N461" i="1"/>
  <c r="J466" i="1"/>
  <c r="J470" i="1"/>
  <c r="J546" i="1"/>
  <c r="J551" i="1"/>
  <c r="N554" i="1"/>
  <c r="J560" i="1"/>
  <c r="J564" i="1"/>
  <c r="J578" i="1"/>
  <c r="N581" i="1"/>
  <c r="N586" i="1"/>
  <c r="J591" i="1"/>
  <c r="J595" i="1"/>
  <c r="N598" i="1"/>
  <c r="J611" i="1"/>
  <c r="J615" i="1"/>
  <c r="J628" i="1"/>
  <c r="J632" i="1"/>
  <c r="L58" i="1"/>
  <c r="K81" i="3"/>
  <c r="N582" i="1"/>
  <c r="N588" i="1"/>
  <c r="J592" i="1"/>
  <c r="N599" i="1"/>
  <c r="N605" i="1"/>
  <c r="J616" i="1"/>
  <c r="J620" i="1"/>
  <c r="J624" i="1"/>
  <c r="N45" i="1"/>
  <c r="J64" i="1"/>
  <c r="N70" i="1"/>
  <c r="J83" i="1"/>
  <c r="I93" i="1"/>
  <c r="K117" i="4"/>
  <c r="K425" i="7"/>
  <c r="J90" i="1"/>
  <c r="O406" i="8"/>
  <c r="K423" i="8"/>
  <c r="I427" i="1"/>
  <c r="O535" i="11"/>
  <c r="O568" i="11"/>
  <c r="K562" i="12"/>
  <c r="K597" i="12"/>
  <c r="P57" i="13"/>
  <c r="K204" i="13"/>
  <c r="K429" i="13"/>
  <c r="K455" i="13"/>
  <c r="K200" i="14"/>
  <c r="N331" i="14"/>
  <c r="N329" i="14" s="1"/>
  <c r="K562" i="14"/>
  <c r="O599" i="16"/>
  <c r="N96" i="17"/>
  <c r="N94" i="17" s="1"/>
  <c r="N55" i="18"/>
  <c r="N53" i="18" s="1"/>
  <c r="K473" i="18"/>
  <c r="K497" i="18"/>
  <c r="L347" i="1"/>
  <c r="O347" i="1" s="1"/>
  <c r="N355" i="1"/>
  <c r="J364" i="1"/>
  <c r="K420" i="2"/>
  <c r="I424" i="1"/>
  <c r="K428" i="2"/>
  <c r="I432" i="1"/>
  <c r="K449" i="2"/>
  <c r="O555" i="2"/>
  <c r="O599" i="2"/>
  <c r="K149" i="3"/>
  <c r="N401" i="1"/>
  <c r="J413" i="1"/>
  <c r="J418" i="1"/>
  <c r="J492" i="1"/>
  <c r="J500" i="1"/>
  <c r="I524" i="1"/>
  <c r="I528" i="1"/>
  <c r="L535" i="1"/>
  <c r="O535" i="1" s="1"/>
  <c r="K624" i="3"/>
  <c r="J633" i="1"/>
  <c r="K164" i="4"/>
  <c r="K185" i="4"/>
  <c r="K201" i="4"/>
  <c r="K375" i="4"/>
  <c r="K92" i="5"/>
  <c r="N292" i="5"/>
  <c r="N290" i="5" s="1"/>
  <c r="K612" i="5"/>
  <c r="K628" i="5"/>
  <c r="K350" i="6"/>
  <c r="N273" i="7"/>
  <c r="N271" i="7" s="1"/>
  <c r="N331" i="7"/>
  <c r="N329" i="7" s="1"/>
  <c r="K616" i="7"/>
  <c r="N43" i="8"/>
  <c r="N41" i="8" s="1"/>
  <c r="K235" i="9"/>
  <c r="O435" i="10"/>
  <c r="O439" i="10"/>
  <c r="K563" i="10"/>
  <c r="O597" i="10"/>
  <c r="K635" i="10"/>
  <c r="L333" i="12"/>
  <c r="O333" i="12" s="1"/>
  <c r="K562" i="13"/>
  <c r="N292" i="14"/>
  <c r="N290" i="14" s="1"/>
  <c r="J412" i="1"/>
  <c r="O455" i="14"/>
  <c r="O459" i="14"/>
  <c r="K465" i="14"/>
  <c r="J476" i="1"/>
  <c r="J484" i="1"/>
  <c r="K597" i="14"/>
  <c r="K164" i="15"/>
  <c r="K634" i="15"/>
  <c r="N120" i="16"/>
  <c r="N118" i="16" s="1"/>
  <c r="M312" i="16"/>
  <c r="P312" i="16" s="1"/>
  <c r="K88" i="17"/>
  <c r="K349" i="17"/>
  <c r="O383" i="17"/>
  <c r="K266" i="19"/>
  <c r="K401" i="20"/>
  <c r="O404" i="20"/>
  <c r="K421" i="20"/>
  <c r="K425" i="20"/>
  <c r="K429" i="20"/>
  <c r="N273" i="21"/>
  <c r="N271" i="21" s="1"/>
  <c r="N142" i="13"/>
  <c r="N140" i="13" s="1"/>
  <c r="N32" i="20"/>
  <c r="N30" i="20" s="1"/>
  <c r="L536" i="1"/>
  <c r="O536" i="1" s="1"/>
  <c r="K176" i="2"/>
  <c r="I176" i="1"/>
  <c r="K213" i="2"/>
  <c r="J370" i="1"/>
  <c r="J374" i="1"/>
  <c r="J379" i="1"/>
  <c r="N382" i="1"/>
  <c r="N387" i="1"/>
  <c r="J396" i="1"/>
  <c r="I401" i="1"/>
  <c r="O404" i="2"/>
  <c r="I421" i="1"/>
  <c r="K492" i="2"/>
  <c r="I492" i="1"/>
  <c r="K492" i="1" s="1"/>
  <c r="M96" i="3"/>
  <c r="P96" i="3" s="1"/>
  <c r="P98" i="3"/>
  <c r="K505" i="12"/>
  <c r="I505" i="1"/>
  <c r="K505" i="1" s="1"/>
  <c r="L385" i="1"/>
  <c r="J176" i="1"/>
  <c r="J197" i="1"/>
  <c r="M312" i="2"/>
  <c r="M310" i="2" s="1"/>
  <c r="M314" i="1"/>
  <c r="O349" i="2"/>
  <c r="L349" i="1"/>
  <c r="I367" i="2"/>
  <c r="K367" i="2" s="1"/>
  <c r="J421" i="1"/>
  <c r="J434" i="1"/>
  <c r="N437" i="1"/>
  <c r="J155" i="1"/>
  <c r="J162" i="1"/>
  <c r="I189" i="1"/>
  <c r="J209" i="1"/>
  <c r="J284" i="1"/>
  <c r="K499" i="5"/>
  <c r="P254" i="11"/>
  <c r="M252" i="11"/>
  <c r="M250" i="11" s="1"/>
  <c r="P250" i="11" s="1"/>
  <c r="N386" i="1"/>
  <c r="J454" i="1"/>
  <c r="N457" i="1"/>
  <c r="N463" i="1"/>
  <c r="K471" i="4"/>
  <c r="I471" i="1"/>
  <c r="K471" i="1" s="1"/>
  <c r="K479" i="4"/>
  <c r="I479" i="1"/>
  <c r="K479" i="1" s="1"/>
  <c r="K483" i="4"/>
  <c r="I483" i="1"/>
  <c r="K483" i="1" s="1"/>
  <c r="I510" i="1"/>
  <c r="K510" i="1" s="1"/>
  <c r="K510" i="4"/>
  <c r="L294" i="5"/>
  <c r="O294" i="5" s="1"/>
  <c r="K349" i="5"/>
  <c r="I349" i="1"/>
  <c r="I244" i="1"/>
  <c r="K244" i="1" s="1"/>
  <c r="O584" i="2"/>
  <c r="L584" i="1"/>
  <c r="K594" i="2"/>
  <c r="I594" i="1"/>
  <c r="K594" i="1" s="1"/>
  <c r="J111" i="1"/>
  <c r="K132" i="3"/>
  <c r="I132" i="1"/>
  <c r="I265" i="1"/>
  <c r="I108" i="1"/>
  <c r="I371" i="1"/>
  <c r="K371" i="1" s="1"/>
  <c r="I575" i="1"/>
  <c r="K575" i="1" s="1"/>
  <c r="K494" i="2"/>
  <c r="I494" i="1"/>
  <c r="K494" i="1" s="1"/>
  <c r="I498" i="1"/>
  <c r="K498" i="1" s="1"/>
  <c r="O598" i="2"/>
  <c r="L598" i="1"/>
  <c r="O598" i="1" s="1"/>
  <c r="I374" i="1"/>
  <c r="K487" i="4"/>
  <c r="I487" i="1"/>
  <c r="K487" i="1" s="1"/>
  <c r="K421" i="6"/>
  <c r="O437" i="6"/>
  <c r="L145" i="1"/>
  <c r="L351" i="1"/>
  <c r="O351" i="1" s="1"/>
  <c r="I417" i="1"/>
  <c r="L551" i="1"/>
  <c r="O551" i="1" s="1"/>
  <c r="I577" i="1"/>
  <c r="K577" i="1" s="1"/>
  <c r="K515" i="2"/>
  <c r="I515" i="1"/>
  <c r="K515" i="1" s="1"/>
  <c r="L534" i="1"/>
  <c r="O534" i="1" s="1"/>
  <c r="O534" i="2"/>
  <c r="N538" i="1"/>
  <c r="O568" i="2"/>
  <c r="L568" i="1"/>
  <c r="K579" i="2"/>
  <c r="I579" i="1"/>
  <c r="K579" i="1" s="1"/>
  <c r="N587" i="1"/>
  <c r="K596" i="2"/>
  <c r="I596" i="1"/>
  <c r="K596" i="1" s="1"/>
  <c r="K473" i="3"/>
  <c r="K508" i="3"/>
  <c r="I508" i="1"/>
  <c r="K508" i="1" s="1"/>
  <c r="O552" i="3"/>
  <c r="L552" i="1"/>
  <c r="O552" i="1" s="1"/>
  <c r="O565" i="3"/>
  <c r="L565" i="1"/>
  <c r="O565" i="1" s="1"/>
  <c r="K576" i="3"/>
  <c r="I576" i="1"/>
  <c r="K576" i="1" s="1"/>
  <c r="I580" i="1"/>
  <c r="K580" i="3"/>
  <c r="K65" i="4"/>
  <c r="I65" i="1"/>
  <c r="K189" i="4"/>
  <c r="K216" i="4"/>
  <c r="P57" i="6"/>
  <c r="K65" i="6"/>
  <c r="L122" i="6"/>
  <c r="O122" i="6" s="1"/>
  <c r="L144" i="6"/>
  <c r="L142" i="6" s="1"/>
  <c r="L275" i="6"/>
  <c r="L273" i="6" s="1"/>
  <c r="N333" i="1"/>
  <c r="J340" i="1"/>
  <c r="N32" i="6"/>
  <c r="N30" i="6" s="1"/>
  <c r="K629" i="3"/>
  <c r="I629" i="1"/>
  <c r="L126" i="1"/>
  <c r="O126" i="1" s="1"/>
  <c r="L382" i="1"/>
  <c r="O382" i="1" s="1"/>
  <c r="J475" i="1"/>
  <c r="J483" i="1"/>
  <c r="J491" i="1"/>
  <c r="J495" i="1"/>
  <c r="K398" i="3"/>
  <c r="I398" i="1"/>
  <c r="K402" i="3"/>
  <c r="I402" i="1"/>
  <c r="K501" i="3"/>
  <c r="I501" i="1"/>
  <c r="K501" i="1" s="1"/>
  <c r="K185" i="6"/>
  <c r="I185" i="1"/>
  <c r="I201" i="1"/>
  <c r="L226" i="1"/>
  <c r="J282" i="1"/>
  <c r="J289" i="1"/>
  <c r="J303" i="1"/>
  <c r="J309" i="1"/>
  <c r="I426" i="1"/>
  <c r="L455" i="1"/>
  <c r="J480" i="1"/>
  <c r="J561" i="1"/>
  <c r="N564" i="1"/>
  <c r="I624" i="1"/>
  <c r="N26" i="3"/>
  <c r="N16" i="3" s="1"/>
  <c r="O406" i="3"/>
  <c r="K112" i="4"/>
  <c r="K421" i="4"/>
  <c r="K341" i="6"/>
  <c r="P314" i="14"/>
  <c r="M312" i="14"/>
  <c r="P312" i="14" s="1"/>
  <c r="M43" i="18"/>
  <c r="M41" i="18" s="1"/>
  <c r="P45" i="18"/>
  <c r="M312" i="19"/>
  <c r="P312" i="19" s="1"/>
  <c r="P314" i="19"/>
  <c r="N33" i="22"/>
  <c r="N13" i="22" s="1"/>
  <c r="J129" i="1"/>
  <c r="J135" i="1"/>
  <c r="J154" i="1"/>
  <c r="J161" i="1"/>
  <c r="J172" i="1"/>
  <c r="J182" i="1"/>
  <c r="J188" i="1"/>
  <c r="K199" i="2"/>
  <c r="K204" i="2"/>
  <c r="J215" i="1"/>
  <c r="K324" i="2"/>
  <c r="J512" i="1"/>
  <c r="J612" i="1"/>
  <c r="N331" i="3"/>
  <c r="N329" i="3" s="1"/>
  <c r="P329" i="3" s="1"/>
  <c r="O597" i="3"/>
  <c r="O601" i="3"/>
  <c r="K109" i="4"/>
  <c r="K340" i="4"/>
  <c r="K375" i="5"/>
  <c r="K473" i="6"/>
  <c r="K481" i="6"/>
  <c r="O384" i="17"/>
  <c r="L33" i="17"/>
  <c r="O33" i="17" s="1"/>
  <c r="J105" i="1"/>
  <c r="J110" i="1"/>
  <c r="J115" i="1"/>
  <c r="J304" i="1"/>
  <c r="L316" i="1"/>
  <c r="J414" i="1"/>
  <c r="J447" i="1"/>
  <c r="J477" i="1"/>
  <c r="I517" i="1"/>
  <c r="I521" i="1"/>
  <c r="I525" i="1"/>
  <c r="I529" i="1"/>
  <c r="K533" i="2"/>
  <c r="N541" i="1"/>
  <c r="J548" i="1"/>
  <c r="N552" i="1"/>
  <c r="N557" i="1"/>
  <c r="K634" i="2"/>
  <c r="N222" i="3"/>
  <c r="N220" i="3" s="1"/>
  <c r="L333" i="3"/>
  <c r="O333" i="3" s="1"/>
  <c r="K631" i="3"/>
  <c r="K133" i="4"/>
  <c r="K213" i="4"/>
  <c r="L224" i="4"/>
  <c r="L222" i="4" s="1"/>
  <c r="L220" i="4" s="1"/>
  <c r="K249" i="4"/>
  <c r="K451" i="4"/>
  <c r="O459" i="4"/>
  <c r="K465" i="4"/>
  <c r="K473" i="4"/>
  <c r="K481" i="4"/>
  <c r="O564" i="4"/>
  <c r="N252" i="6"/>
  <c r="N34" i="13"/>
  <c r="N14" i="13" s="1"/>
  <c r="N120" i="5"/>
  <c r="N118" i="5" s="1"/>
  <c r="K350" i="5"/>
  <c r="O354" i="5"/>
  <c r="K372" i="5"/>
  <c r="K199" i="6"/>
  <c r="O354" i="6"/>
  <c r="O380" i="6"/>
  <c r="M120" i="17"/>
  <c r="M118" i="17" s="1"/>
  <c r="P122" i="17"/>
  <c r="I87" i="1"/>
  <c r="J229" i="1"/>
  <c r="J237" i="1"/>
  <c r="J244" i="1"/>
  <c r="J369" i="1"/>
  <c r="N440" i="1"/>
  <c r="J453" i="1"/>
  <c r="L457" i="1"/>
  <c r="N462" i="1"/>
  <c r="J486" i="1"/>
  <c r="N553" i="1"/>
  <c r="O566" i="2"/>
  <c r="K380" i="3"/>
  <c r="L254" i="4"/>
  <c r="O254" i="4" s="1"/>
  <c r="N222" i="5"/>
  <c r="N220" i="5" s="1"/>
  <c r="N252" i="5"/>
  <c r="N250" i="5" s="1"/>
  <c r="L438" i="1"/>
  <c r="O438" i="1" s="1"/>
  <c r="I495" i="1"/>
  <c r="K495" i="1" s="1"/>
  <c r="J93" i="1"/>
  <c r="J467" i="1"/>
  <c r="I499" i="1"/>
  <c r="K499" i="1" s="1"/>
  <c r="J502" i="1"/>
  <c r="N585" i="1"/>
  <c r="N601" i="1"/>
  <c r="J610" i="1"/>
  <c r="J614" i="1"/>
  <c r="J618" i="1"/>
  <c r="J626" i="1"/>
  <c r="J631" i="1"/>
  <c r="L254" i="3"/>
  <c r="O254" i="3" s="1"/>
  <c r="K264" i="3"/>
  <c r="K455" i="3"/>
  <c r="P314" i="4"/>
  <c r="K432" i="4"/>
  <c r="O347" i="5"/>
  <c r="K634" i="5"/>
  <c r="P70" i="6"/>
  <c r="K189" i="6"/>
  <c r="K200" i="6"/>
  <c r="K229" i="6"/>
  <c r="K265" i="6"/>
  <c r="K270" i="6"/>
  <c r="K449" i="6"/>
  <c r="K573" i="6"/>
  <c r="L314" i="7"/>
  <c r="L312" i="7" s="1"/>
  <c r="N32" i="13"/>
  <c r="N30" i="13" s="1"/>
  <c r="P45" i="15"/>
  <c r="M43" i="15"/>
  <c r="O582" i="16"/>
  <c r="L32" i="16"/>
  <c r="L30" i="16" s="1"/>
  <c r="O435" i="8"/>
  <c r="K633" i="8"/>
  <c r="M68" i="11"/>
  <c r="M66" i="11" s="1"/>
  <c r="P66" i="11" s="1"/>
  <c r="L294" i="11"/>
  <c r="O294" i="11" s="1"/>
  <c r="N43" i="13"/>
  <c r="N41" i="13" s="1"/>
  <c r="K158" i="13"/>
  <c r="N292" i="13"/>
  <c r="N290" i="13" s="1"/>
  <c r="N120" i="14"/>
  <c r="N118" i="14" s="1"/>
  <c r="K618" i="15"/>
  <c r="O455" i="16"/>
  <c r="K563" i="17"/>
  <c r="O601" i="17"/>
  <c r="N43" i="18"/>
  <c r="N41" i="18" s="1"/>
  <c r="P122" i="18"/>
  <c r="P254" i="19"/>
  <c r="K628" i="19"/>
  <c r="L98" i="20"/>
  <c r="O98" i="20" s="1"/>
  <c r="K149" i="20"/>
  <c r="N252" i="20"/>
  <c r="N250" i="20" s="1"/>
  <c r="M273" i="20"/>
  <c r="P273" i="20" s="1"/>
  <c r="N292" i="20"/>
  <c r="N290" i="20" s="1"/>
  <c r="K617" i="20"/>
  <c r="K158" i="21"/>
  <c r="L57" i="22"/>
  <c r="O57" i="22" s="1"/>
  <c r="O564" i="22"/>
  <c r="K343" i="7"/>
  <c r="O455" i="7"/>
  <c r="K563" i="7"/>
  <c r="O385" i="8"/>
  <c r="K213" i="9"/>
  <c r="M331" i="9"/>
  <c r="K421" i="9"/>
  <c r="K425" i="9"/>
  <c r="K429" i="9"/>
  <c r="K629" i="9"/>
  <c r="K368" i="10"/>
  <c r="K397" i="10"/>
  <c r="O535" i="10"/>
  <c r="K200" i="11"/>
  <c r="K398" i="11"/>
  <c r="K402" i="11"/>
  <c r="K631" i="11"/>
  <c r="P45" i="12"/>
  <c r="K92" i="12"/>
  <c r="N142" i="12"/>
  <c r="N140" i="12" s="1"/>
  <c r="K229" i="12"/>
  <c r="K343" i="12"/>
  <c r="K402" i="12"/>
  <c r="M55" i="13"/>
  <c r="M53" i="13" s="1"/>
  <c r="P70" i="13"/>
  <c r="L98" i="13"/>
  <c r="O98" i="13" s="1"/>
  <c r="N222" i="13"/>
  <c r="N220" i="13" s="1"/>
  <c r="P333" i="13"/>
  <c r="K398" i="14"/>
  <c r="K402" i="14"/>
  <c r="K423" i="14"/>
  <c r="K427" i="14"/>
  <c r="O435" i="14"/>
  <c r="K466" i="14"/>
  <c r="K563" i="14"/>
  <c r="O566" i="14"/>
  <c r="K499" i="15"/>
  <c r="K341" i="16"/>
  <c r="K380" i="16"/>
  <c r="K562" i="16"/>
  <c r="N142" i="17"/>
  <c r="N140" i="17" s="1"/>
  <c r="P140" i="17" s="1"/>
  <c r="K381" i="17"/>
  <c r="K564" i="17"/>
  <c r="K573" i="17"/>
  <c r="N68" i="18"/>
  <c r="N66" i="18" s="1"/>
  <c r="K158" i="18"/>
  <c r="L333" i="18"/>
  <c r="O333" i="18" s="1"/>
  <c r="K341" i="18"/>
  <c r="K380" i="18"/>
  <c r="K397" i="18"/>
  <c r="O401" i="18"/>
  <c r="K426" i="18"/>
  <c r="K430" i="18"/>
  <c r="N43" i="19"/>
  <c r="N41" i="19" s="1"/>
  <c r="P122" i="19"/>
  <c r="K173" i="19"/>
  <c r="K341" i="19"/>
  <c r="O564" i="19"/>
  <c r="O568" i="19"/>
  <c r="L254" i="20"/>
  <c r="L252" i="20" s="1"/>
  <c r="O252" i="20" s="1"/>
  <c r="L294" i="20"/>
  <c r="O294" i="20" s="1"/>
  <c r="L314" i="20"/>
  <c r="O314" i="20" s="1"/>
  <c r="O406" i="20"/>
  <c r="K634" i="21"/>
  <c r="K86" i="21"/>
  <c r="O537" i="7"/>
  <c r="N96" i="8"/>
  <c r="N94" i="8" s="1"/>
  <c r="K634" i="8"/>
  <c r="K435" i="9"/>
  <c r="O535" i="9"/>
  <c r="K149" i="10"/>
  <c r="K381" i="10"/>
  <c r="N68" i="11"/>
  <c r="N66" i="11" s="1"/>
  <c r="K564" i="12"/>
  <c r="K597" i="13"/>
  <c r="K343" i="14"/>
  <c r="O347" i="14"/>
  <c r="K420" i="14"/>
  <c r="K428" i="14"/>
  <c r="K432" i="14"/>
  <c r="O537" i="14"/>
  <c r="M271" i="15"/>
  <c r="N312" i="15"/>
  <c r="N310" i="15" s="1"/>
  <c r="O349" i="15"/>
  <c r="N33" i="15"/>
  <c r="N13" i="15" s="1"/>
  <c r="K450" i="15"/>
  <c r="O535" i="15"/>
  <c r="N252" i="16"/>
  <c r="N250" i="16" s="1"/>
  <c r="N331" i="16"/>
  <c r="N329" i="16" s="1"/>
  <c r="O380" i="16"/>
  <c r="N273" i="17"/>
  <c r="N271" i="17" s="1"/>
  <c r="L32" i="17"/>
  <c r="L30" i="17" s="1"/>
  <c r="K421" i="17"/>
  <c r="K449" i="17"/>
  <c r="K88" i="18"/>
  <c r="K186" i="18"/>
  <c r="K309" i="18"/>
  <c r="L98" i="19"/>
  <c r="O98" i="19" s="1"/>
  <c r="K108" i="19"/>
  <c r="L294" i="19"/>
  <c r="O294" i="19" s="1"/>
  <c r="K564" i="20"/>
  <c r="N120" i="21"/>
  <c r="N118" i="21" s="1"/>
  <c r="N331" i="21"/>
  <c r="N329" i="21" s="1"/>
  <c r="K562" i="11"/>
  <c r="L45" i="12"/>
  <c r="L43" i="12" s="1"/>
  <c r="L41" i="12" s="1"/>
  <c r="K402" i="15"/>
  <c r="K430" i="15"/>
  <c r="P57" i="16"/>
  <c r="O74" i="17"/>
  <c r="K204" i="18"/>
  <c r="K215" i="18"/>
  <c r="L224" i="18"/>
  <c r="L222" i="18" s="1"/>
  <c r="L220" i="18" s="1"/>
  <c r="K289" i="18"/>
  <c r="O580" i="18"/>
  <c r="O601" i="18"/>
  <c r="L57" i="19"/>
  <c r="O57" i="19" s="1"/>
  <c r="K368" i="19"/>
  <c r="K372" i="19"/>
  <c r="K435" i="19"/>
  <c r="K547" i="20"/>
  <c r="K619" i="7"/>
  <c r="P45" i="9"/>
  <c r="K402" i="9"/>
  <c r="K423" i="9"/>
  <c r="K427" i="9"/>
  <c r="O435" i="9"/>
  <c r="K396" i="11"/>
  <c r="O404" i="11"/>
  <c r="K421" i="11"/>
  <c r="K429" i="11"/>
  <c r="K632" i="12"/>
  <c r="K189" i="13"/>
  <c r="L45" i="14"/>
  <c r="L43" i="14" s="1"/>
  <c r="L41" i="14" s="1"/>
  <c r="K631" i="16"/>
  <c r="K397" i="17"/>
  <c r="O401" i="17"/>
  <c r="N34" i="18"/>
  <c r="N14" i="18" s="1"/>
  <c r="K380" i="7"/>
  <c r="K397" i="7"/>
  <c r="O599" i="7"/>
  <c r="K199" i="8"/>
  <c r="K451" i="8"/>
  <c r="O537" i="9"/>
  <c r="K632" i="9"/>
  <c r="N312" i="10"/>
  <c r="N310" i="10" s="1"/>
  <c r="K450" i="10"/>
  <c r="K149" i="11"/>
  <c r="K109" i="12"/>
  <c r="K149" i="12"/>
  <c r="P294" i="12"/>
  <c r="K345" i="12"/>
  <c r="K435" i="12"/>
  <c r="K633" i="12"/>
  <c r="N273" i="13"/>
  <c r="N271" i="13" s="1"/>
  <c r="K473" i="13"/>
  <c r="K618" i="13"/>
  <c r="K629" i="14"/>
  <c r="K633" i="14"/>
  <c r="L294" i="15"/>
  <c r="L292" i="15" s="1"/>
  <c r="K481" i="15"/>
  <c r="O584" i="15"/>
  <c r="K635" i="15"/>
  <c r="K270" i="16"/>
  <c r="K328" i="16"/>
  <c r="K340" i="16"/>
  <c r="O404" i="16"/>
  <c r="K628" i="16"/>
  <c r="K632" i="16"/>
  <c r="N55" i="17"/>
  <c r="N53" i="17" s="1"/>
  <c r="K219" i="17"/>
  <c r="L333" i="17"/>
  <c r="O333" i="17" s="1"/>
  <c r="K473" i="17"/>
  <c r="K481" i="17"/>
  <c r="L254" i="18"/>
  <c r="O254" i="18" s="1"/>
  <c r="O457" i="18"/>
  <c r="K499" i="18"/>
  <c r="K591" i="18"/>
  <c r="K595" i="18"/>
  <c r="K628" i="18"/>
  <c r="N68" i="19"/>
  <c r="N66" i="19" s="1"/>
  <c r="K328" i="19"/>
  <c r="K427" i="19"/>
  <c r="O533" i="19"/>
  <c r="N55" i="20"/>
  <c r="N53" i="20" s="1"/>
  <c r="K616" i="20"/>
  <c r="K265" i="21"/>
  <c r="P333" i="21"/>
  <c r="O437" i="21"/>
  <c r="K455" i="21"/>
  <c r="K499" i="21"/>
  <c r="K629" i="21"/>
  <c r="K564" i="22"/>
  <c r="K200" i="2"/>
  <c r="K216" i="2"/>
  <c r="K375" i="2"/>
  <c r="J203" i="1"/>
  <c r="J213" i="1"/>
  <c r="L225" i="1"/>
  <c r="L459" i="1"/>
  <c r="N555" i="1"/>
  <c r="J88" i="1"/>
  <c r="N583" i="1"/>
  <c r="J593" i="1"/>
  <c r="L34" i="15"/>
  <c r="O439" i="15"/>
  <c r="O74" i="3"/>
  <c r="L100" i="1"/>
  <c r="J117" i="1"/>
  <c r="L124" i="1"/>
  <c r="J132" i="1"/>
  <c r="P144" i="3"/>
  <c r="J160" i="1"/>
  <c r="J171" i="1"/>
  <c r="J181" i="1"/>
  <c r="K199" i="3"/>
  <c r="K204" i="3"/>
  <c r="J349" i="1"/>
  <c r="K419" i="3"/>
  <c r="K435" i="3"/>
  <c r="N49" i="1"/>
  <c r="N74" i="1"/>
  <c r="O337" i="4"/>
  <c r="L354" i="1"/>
  <c r="J362" i="1"/>
  <c r="J368" i="1"/>
  <c r="K372" i="4"/>
  <c r="N380" i="1"/>
  <c r="N384" i="1"/>
  <c r="J392" i="1"/>
  <c r="J398" i="1"/>
  <c r="J402" i="1"/>
  <c r="N406" i="1"/>
  <c r="J415" i="1"/>
  <c r="J545" i="1"/>
  <c r="I573" i="1"/>
  <c r="O597" i="4"/>
  <c r="O601" i="4"/>
  <c r="K635" i="4"/>
  <c r="L45" i="5"/>
  <c r="L43" i="5" s="1"/>
  <c r="L41" i="5" s="1"/>
  <c r="P98" i="5"/>
  <c r="K117" i="5"/>
  <c r="K189" i="5"/>
  <c r="K421" i="5"/>
  <c r="N292" i="6"/>
  <c r="N290" i="6" s="1"/>
  <c r="O457" i="6"/>
  <c r="O406" i="7"/>
  <c r="K158" i="8"/>
  <c r="L294" i="8"/>
  <c r="O294" i="8" s="1"/>
  <c r="K431" i="8"/>
  <c r="L294" i="9"/>
  <c r="O294" i="9" s="1"/>
  <c r="P337" i="9"/>
  <c r="K164" i="10"/>
  <c r="K372" i="10"/>
  <c r="K376" i="10"/>
  <c r="K427" i="10"/>
  <c r="O599" i="10"/>
  <c r="K426" i="11"/>
  <c r="K455" i="11"/>
  <c r="K450" i="12"/>
  <c r="P98" i="18"/>
  <c r="M96" i="18"/>
  <c r="P96" i="18" s="1"/>
  <c r="K421" i="2"/>
  <c r="K450" i="2"/>
  <c r="I345" i="1"/>
  <c r="J503" i="1"/>
  <c r="J514" i="1"/>
  <c r="I518" i="1"/>
  <c r="I522" i="1"/>
  <c r="I526" i="1"/>
  <c r="I530" i="1"/>
  <c r="N536" i="1"/>
  <c r="O102" i="4"/>
  <c r="J342" i="1"/>
  <c r="J346" i="1"/>
  <c r="O385" i="4"/>
  <c r="K416" i="4"/>
  <c r="J518" i="1"/>
  <c r="J522" i="1"/>
  <c r="J526" i="1"/>
  <c r="L57" i="5"/>
  <c r="O57" i="5" s="1"/>
  <c r="L70" i="5"/>
  <c r="O70" i="5" s="1"/>
  <c r="K158" i="5"/>
  <c r="K328" i="5"/>
  <c r="K455" i="5"/>
  <c r="K631" i="5"/>
  <c r="K138" i="6"/>
  <c r="L294" i="6"/>
  <c r="L292" i="6" s="1"/>
  <c r="O292" i="6" s="1"/>
  <c r="K380" i="6"/>
  <c r="L32" i="6"/>
  <c r="L30" i="6" s="1"/>
  <c r="O401" i="6"/>
  <c r="K422" i="6"/>
  <c r="K426" i="6"/>
  <c r="K630" i="6"/>
  <c r="K416" i="7"/>
  <c r="K420" i="7"/>
  <c r="K431" i="7"/>
  <c r="O459" i="7"/>
  <c r="K629" i="7"/>
  <c r="L98" i="8"/>
  <c r="O98" i="8" s="1"/>
  <c r="J350" i="1"/>
  <c r="J363" i="1"/>
  <c r="J469" i="1"/>
  <c r="J507" i="1"/>
  <c r="I633" i="1"/>
  <c r="P45" i="11"/>
  <c r="K381" i="11"/>
  <c r="K138" i="12"/>
  <c r="K249" i="12"/>
  <c r="N331" i="12"/>
  <c r="N329" i="12" s="1"/>
  <c r="K418" i="12"/>
  <c r="K426" i="12"/>
  <c r="K573" i="12"/>
  <c r="K621" i="12"/>
  <c r="P57" i="2"/>
  <c r="N68" i="2"/>
  <c r="N66" i="2" s="1"/>
  <c r="O298" i="2"/>
  <c r="K306" i="2"/>
  <c r="K563" i="2"/>
  <c r="N55" i="3"/>
  <c r="N53" i="3" s="1"/>
  <c r="J77" i="1"/>
  <c r="J341" i="1"/>
  <c r="N435" i="1"/>
  <c r="K466" i="3"/>
  <c r="J619" i="1"/>
  <c r="J623" i="1"/>
  <c r="J511" i="1"/>
  <c r="K617" i="4"/>
  <c r="N353" i="1"/>
  <c r="J361" i="1"/>
  <c r="L31" i="6"/>
  <c r="O31" i="6" s="1"/>
  <c r="J131" i="1"/>
  <c r="J367" i="1"/>
  <c r="J371" i="1"/>
  <c r="J375" i="1"/>
  <c r="N443" i="1"/>
  <c r="J450" i="1"/>
  <c r="J89" i="1"/>
  <c r="J159" i="1"/>
  <c r="J170" i="1"/>
  <c r="J378" i="1"/>
  <c r="J381" i="1"/>
  <c r="K381" i="1" s="1"/>
  <c r="J202" i="1"/>
  <c r="I213" i="1"/>
  <c r="L314" i="9"/>
  <c r="O314" i="9" s="1"/>
  <c r="K229" i="10"/>
  <c r="K432" i="10"/>
  <c r="K629" i="10"/>
  <c r="N120" i="19"/>
  <c r="N118" i="19" s="1"/>
  <c r="K64" i="3"/>
  <c r="K200" i="3"/>
  <c r="K396" i="3"/>
  <c r="K428" i="3"/>
  <c r="O537" i="3"/>
  <c r="O599" i="3"/>
  <c r="I616" i="1"/>
  <c r="K92" i="4"/>
  <c r="J504" i="1"/>
  <c r="J508" i="1"/>
  <c r="O406" i="6"/>
  <c r="K419" i="6"/>
  <c r="K427" i="6"/>
  <c r="K547" i="6"/>
  <c r="K635" i="6"/>
  <c r="K401" i="7"/>
  <c r="K417" i="7"/>
  <c r="K149" i="8"/>
  <c r="N252" i="8"/>
  <c r="N250" i="8" s="1"/>
  <c r="O597" i="8"/>
  <c r="K631" i="8"/>
  <c r="K623" i="9"/>
  <c r="K564" i="10"/>
  <c r="L254" i="11"/>
  <c r="O254" i="11" s="1"/>
  <c r="K341" i="11"/>
  <c r="K345" i="11"/>
  <c r="K497" i="11"/>
  <c r="O597" i="11"/>
  <c r="K216" i="12"/>
  <c r="N312" i="12"/>
  <c r="N310" i="12" s="1"/>
  <c r="O352" i="12"/>
  <c r="O406" i="12"/>
  <c r="K465" i="12"/>
  <c r="K481" i="12"/>
  <c r="K149" i="2"/>
  <c r="K249" i="2"/>
  <c r="K349" i="2"/>
  <c r="K419" i="2"/>
  <c r="K423" i="2"/>
  <c r="K431" i="2"/>
  <c r="K481" i="2"/>
  <c r="J325" i="1"/>
  <c r="I486" i="1"/>
  <c r="K486" i="1" s="1"/>
  <c r="J589" i="1"/>
  <c r="J596" i="1"/>
  <c r="I111" i="1"/>
  <c r="J128" i="1"/>
  <c r="J134" i="1"/>
  <c r="J149" i="1"/>
  <c r="I235" i="1"/>
  <c r="J242" i="1"/>
  <c r="N292" i="4"/>
  <c r="N290" i="4" s="1"/>
  <c r="O599" i="4"/>
  <c r="O337" i="5"/>
  <c r="K398" i="5"/>
  <c r="K564" i="7"/>
  <c r="K204" i="8"/>
  <c r="K349" i="8"/>
  <c r="K396" i="8"/>
  <c r="O404" i="8"/>
  <c r="K449" i="8"/>
  <c r="O535" i="8"/>
  <c r="K199" i="9"/>
  <c r="K533" i="9"/>
  <c r="K620" i="9"/>
  <c r="P57" i="10"/>
  <c r="K213" i="10"/>
  <c r="O349" i="10"/>
  <c r="K421" i="10"/>
  <c r="K289" i="2"/>
  <c r="K341" i="2"/>
  <c r="J285" i="1"/>
  <c r="N292" i="3"/>
  <c r="N290" i="3" s="1"/>
  <c r="J306" i="1"/>
  <c r="K397" i="3"/>
  <c r="O401" i="3"/>
  <c r="N404" i="1"/>
  <c r="N410" i="1"/>
  <c r="J417" i="1"/>
  <c r="K421" i="3"/>
  <c r="J471" i="1"/>
  <c r="J482" i="1"/>
  <c r="K597" i="3"/>
  <c r="J107" i="1"/>
  <c r="P144" i="4"/>
  <c r="K429" i="4"/>
  <c r="J494" i="1"/>
  <c r="J629" i="1"/>
  <c r="K416" i="5"/>
  <c r="K533" i="5"/>
  <c r="M292" i="6"/>
  <c r="M290" i="6" s="1"/>
  <c r="P290" i="6" s="1"/>
  <c r="K349" i="6"/>
  <c r="K422" i="7"/>
  <c r="N142" i="8"/>
  <c r="N140" i="8" s="1"/>
  <c r="K200" i="8"/>
  <c r="N273" i="8"/>
  <c r="P273" i="8" s="1"/>
  <c r="N331" i="8"/>
  <c r="N329" i="8" s="1"/>
  <c r="N331" i="9"/>
  <c r="N329" i="9" s="1"/>
  <c r="O564" i="10"/>
  <c r="K449" i="11"/>
  <c r="M43" i="12"/>
  <c r="M41" i="12" s="1"/>
  <c r="L70" i="12"/>
  <c r="O70" i="12" s="1"/>
  <c r="N222" i="12"/>
  <c r="P222" i="12" s="1"/>
  <c r="P275" i="12"/>
  <c r="K466" i="12"/>
  <c r="K482" i="12"/>
  <c r="K497" i="12"/>
  <c r="K474" i="2"/>
  <c r="K619" i="2"/>
  <c r="K628" i="2"/>
  <c r="K176" i="3"/>
  <c r="J238" i="1"/>
  <c r="J246" i="1"/>
  <c r="J261" i="1"/>
  <c r="K266" i="3"/>
  <c r="K328" i="3"/>
  <c r="O380" i="3"/>
  <c r="N389" i="1"/>
  <c r="K418" i="3"/>
  <c r="J464" i="1"/>
  <c r="L564" i="1"/>
  <c r="N580" i="1"/>
  <c r="K630" i="3"/>
  <c r="K634" i="3"/>
  <c r="K430" i="4"/>
  <c r="I435" i="1"/>
  <c r="L437" i="1"/>
  <c r="N442" i="1"/>
  <c r="K450" i="4"/>
  <c r="I464" i="1"/>
  <c r="J487" i="1"/>
  <c r="K563" i="4"/>
  <c r="O566" i="4"/>
  <c r="I597" i="1"/>
  <c r="J607" i="1"/>
  <c r="I613" i="1"/>
  <c r="I621" i="1"/>
  <c r="I625" i="1"/>
  <c r="N273" i="5"/>
  <c r="N271" i="5" s="1"/>
  <c r="P271" i="5" s="1"/>
  <c r="K304" i="5"/>
  <c r="K324" i="5"/>
  <c r="K424" i="5"/>
  <c r="K432" i="5"/>
  <c r="K449" i="5"/>
  <c r="K498" i="5"/>
  <c r="O533" i="5"/>
  <c r="K597" i="5"/>
  <c r="K85" i="6"/>
  <c r="N96" i="6"/>
  <c r="N94" i="6" s="1"/>
  <c r="K267" i="6"/>
  <c r="K474" i="6"/>
  <c r="K482" i="6"/>
  <c r="K497" i="6"/>
  <c r="K533" i="6"/>
  <c r="L122" i="7"/>
  <c r="L120" i="7" s="1"/>
  <c r="O120" i="7" s="1"/>
  <c r="N292" i="7"/>
  <c r="N290" i="7" s="1"/>
  <c r="K216" i="8"/>
  <c r="O349" i="8"/>
  <c r="K418" i="8"/>
  <c r="K138" i="9"/>
  <c r="L254" i="9"/>
  <c r="L252" i="9" s="1"/>
  <c r="L333" i="9"/>
  <c r="L331" i="9" s="1"/>
  <c r="O533" i="9"/>
  <c r="L57" i="10"/>
  <c r="O57" i="10" s="1"/>
  <c r="L144" i="10"/>
  <c r="L142" i="10" s="1"/>
  <c r="K418" i="10"/>
  <c r="L70" i="11"/>
  <c r="L68" i="11" s="1"/>
  <c r="K219" i="11"/>
  <c r="K450" i="11"/>
  <c r="O533" i="11"/>
  <c r="K213" i="12"/>
  <c r="P224" i="12"/>
  <c r="K350" i="12"/>
  <c r="K380" i="12"/>
  <c r="O383" i="12"/>
  <c r="K417" i="12"/>
  <c r="K421" i="12"/>
  <c r="K425" i="12"/>
  <c r="K498" i="12"/>
  <c r="K563" i="12"/>
  <c r="K589" i="12"/>
  <c r="K593" i="12"/>
  <c r="K625" i="14"/>
  <c r="K620" i="14"/>
  <c r="N96" i="13"/>
  <c r="N94" i="13" s="1"/>
  <c r="O437" i="13"/>
  <c r="K401" i="14"/>
  <c r="K498" i="14"/>
  <c r="K533" i="14"/>
  <c r="L57" i="15"/>
  <c r="L55" i="15" s="1"/>
  <c r="L53" i="15" s="1"/>
  <c r="M292" i="15"/>
  <c r="P292" i="15" s="1"/>
  <c r="K497" i="15"/>
  <c r="K164" i="16"/>
  <c r="K420" i="16"/>
  <c r="K424" i="16"/>
  <c r="K564" i="16"/>
  <c r="O349" i="17"/>
  <c r="L70" i="18"/>
  <c r="O70" i="18" s="1"/>
  <c r="K80" i="18"/>
  <c r="K229" i="18"/>
  <c r="P275" i="18"/>
  <c r="L314" i="18"/>
  <c r="O314" i="18" s="1"/>
  <c r="K324" i="18"/>
  <c r="K429" i="18"/>
  <c r="K110" i="19"/>
  <c r="K149" i="19"/>
  <c r="K265" i="19"/>
  <c r="K449" i="19"/>
  <c r="P144" i="20"/>
  <c r="N142" i="21"/>
  <c r="N140" i="21" s="1"/>
  <c r="K219" i="21"/>
  <c r="N222" i="21"/>
  <c r="N220" i="21" s="1"/>
  <c r="N31" i="21"/>
  <c r="N29" i="21" s="1"/>
  <c r="O584" i="21"/>
  <c r="M118" i="22"/>
  <c r="P118" i="22" s="1"/>
  <c r="P122" i="22"/>
  <c r="L333" i="22"/>
  <c r="L331" i="22" s="1"/>
  <c r="O352" i="22"/>
  <c r="O535" i="22"/>
  <c r="K422" i="13"/>
  <c r="K267" i="15"/>
  <c r="K341" i="15"/>
  <c r="K597" i="15"/>
  <c r="N55" i="16"/>
  <c r="N53" i="16" s="1"/>
  <c r="K158" i="16"/>
  <c r="L333" i="16"/>
  <c r="O333" i="16" s="1"/>
  <c r="K547" i="16"/>
  <c r="K81" i="17"/>
  <c r="L98" i="17"/>
  <c r="L96" i="17" s="1"/>
  <c r="O96" i="17" s="1"/>
  <c r="K189" i="17"/>
  <c r="K200" i="17"/>
  <c r="K418" i="17"/>
  <c r="L24" i="18"/>
  <c r="O24" i="18" s="1"/>
  <c r="K455" i="18"/>
  <c r="K563" i="18"/>
  <c r="K547" i="19"/>
  <c r="K631" i="19"/>
  <c r="K189" i="20"/>
  <c r="K423" i="20"/>
  <c r="O439" i="20"/>
  <c r="K149" i="21"/>
  <c r="K249" i="21"/>
  <c r="K267" i="21"/>
  <c r="K628" i="12"/>
  <c r="K229" i="14"/>
  <c r="K380" i="14"/>
  <c r="K499" i="14"/>
  <c r="O566" i="15"/>
  <c r="L70" i="16"/>
  <c r="L68" i="16" s="1"/>
  <c r="O68" i="16" s="1"/>
  <c r="O437" i="16"/>
  <c r="O457" i="16"/>
  <c r="O535" i="16"/>
  <c r="K372" i="17"/>
  <c r="O459" i="17"/>
  <c r="K465" i="17"/>
  <c r="K81" i="18"/>
  <c r="L98" i="18"/>
  <c r="L96" i="18" s="1"/>
  <c r="K418" i="18"/>
  <c r="K625" i="18"/>
  <c r="K219" i="19"/>
  <c r="L275" i="19"/>
  <c r="L273" i="19" s="1"/>
  <c r="K285" i="19"/>
  <c r="K350" i="19"/>
  <c r="N32" i="19"/>
  <c r="N30" i="19" s="1"/>
  <c r="K397" i="19"/>
  <c r="O437" i="19"/>
  <c r="K611" i="19"/>
  <c r="P98" i="20"/>
  <c r="O347" i="20"/>
  <c r="N33" i="21"/>
  <c r="N13" i="21" s="1"/>
  <c r="K422" i="21"/>
  <c r="K430" i="21"/>
  <c r="K372" i="22"/>
  <c r="O437" i="22"/>
  <c r="K450" i="22"/>
  <c r="K213" i="13"/>
  <c r="K219" i="13"/>
  <c r="K422" i="14"/>
  <c r="N43" i="15"/>
  <c r="N41" i="15" s="1"/>
  <c r="N55" i="15"/>
  <c r="N53" i="15" s="1"/>
  <c r="N68" i="15"/>
  <c r="N66" i="15" s="1"/>
  <c r="K204" i="15"/>
  <c r="K264" i="15"/>
  <c r="K368" i="15"/>
  <c r="K267" i="17"/>
  <c r="O597" i="17"/>
  <c r="K630" i="17"/>
  <c r="K285" i="18"/>
  <c r="K402" i="18"/>
  <c r="O435" i="18"/>
  <c r="K189" i="19"/>
  <c r="L224" i="19"/>
  <c r="O224" i="19" s="1"/>
  <c r="L122" i="20"/>
  <c r="O122" i="20" s="1"/>
  <c r="K158" i="20"/>
  <c r="L275" i="20"/>
  <c r="O275" i="20" s="1"/>
  <c r="K428" i="20"/>
  <c r="K449" i="20"/>
  <c r="K533" i="20"/>
  <c r="N55" i="21"/>
  <c r="N53" i="21" s="1"/>
  <c r="P144" i="21"/>
  <c r="L254" i="21"/>
  <c r="O254" i="21" s="1"/>
  <c r="N292" i="21"/>
  <c r="N290" i="21" s="1"/>
  <c r="O337" i="21"/>
  <c r="O354" i="21"/>
  <c r="O455" i="21"/>
  <c r="O459" i="21"/>
  <c r="K465" i="21"/>
  <c r="K564" i="13"/>
  <c r="K481" i="14"/>
  <c r="K564" i="15"/>
  <c r="K397" i="16"/>
  <c r="O533" i="17"/>
  <c r="K481" i="18"/>
  <c r="K402" i="19"/>
  <c r="O406" i="19"/>
  <c r="P333" i="20"/>
  <c r="L144" i="22"/>
  <c r="L142" i="22" s="1"/>
  <c r="L140" i="22" s="1"/>
  <c r="K376" i="22"/>
  <c r="K426" i="22"/>
  <c r="K449" i="13"/>
  <c r="K149" i="14"/>
  <c r="K343" i="15"/>
  <c r="K398" i="15"/>
  <c r="K426" i="15"/>
  <c r="N142" i="16"/>
  <c r="N140" i="16" s="1"/>
  <c r="K426" i="16"/>
  <c r="K597" i="16"/>
  <c r="K630" i="16"/>
  <c r="N120" i="17"/>
  <c r="N118" i="17" s="1"/>
  <c r="K264" i="17"/>
  <c r="K420" i="17"/>
  <c r="K474" i="17"/>
  <c r="N273" i="18"/>
  <c r="N271" i="18" s="1"/>
  <c r="K449" i="18"/>
  <c r="K497" i="19"/>
  <c r="K219" i="20"/>
  <c r="O437" i="20"/>
  <c r="K450" i="20"/>
  <c r="O533" i="20"/>
  <c r="K81" i="21"/>
  <c r="O347" i="21"/>
  <c r="K381" i="21"/>
  <c r="O435" i="22"/>
  <c r="K635" i="22"/>
  <c r="K634" i="12"/>
  <c r="K86" i="13"/>
  <c r="M292" i="13"/>
  <c r="P292" i="13" s="1"/>
  <c r="O404" i="13"/>
  <c r="K533" i="13"/>
  <c r="O597" i="13"/>
  <c r="K474" i="14"/>
  <c r="K482" i="14"/>
  <c r="K497" i="14"/>
  <c r="N31" i="14"/>
  <c r="K628" i="14"/>
  <c r="P57" i="15"/>
  <c r="L275" i="15"/>
  <c r="O275" i="15" s="1"/>
  <c r="K328" i="15"/>
  <c r="P333" i="15"/>
  <c r="K381" i="15"/>
  <c r="O385" i="15"/>
  <c r="K431" i="15"/>
  <c r="O435" i="15"/>
  <c r="O459" i="15"/>
  <c r="K473" i="15"/>
  <c r="O568" i="15"/>
  <c r="K628" i="15"/>
  <c r="L144" i="16"/>
  <c r="L142" i="16" s="1"/>
  <c r="K235" i="16"/>
  <c r="N273" i="16"/>
  <c r="N271" i="16" s="1"/>
  <c r="K427" i="16"/>
  <c r="K431" i="16"/>
  <c r="O459" i="16"/>
  <c r="K229" i="17"/>
  <c r="K265" i="17"/>
  <c r="K428" i="17"/>
  <c r="K432" i="17"/>
  <c r="P144" i="18"/>
  <c r="K200" i="18"/>
  <c r="M273" i="18"/>
  <c r="M271" i="18" s="1"/>
  <c r="K482" i="18"/>
  <c r="O582" i="18"/>
  <c r="K133" i="19"/>
  <c r="K158" i="19"/>
  <c r="K423" i="19"/>
  <c r="O584" i="19"/>
  <c r="L333" i="20"/>
  <c r="O333" i="20" s="1"/>
  <c r="N31" i="20"/>
  <c r="N11" i="20" s="1"/>
  <c r="N9" i="20" s="1"/>
  <c r="K133" i="21"/>
  <c r="K164" i="21"/>
  <c r="N252" i="21"/>
  <c r="N250" i="21" s="1"/>
  <c r="K401" i="21"/>
  <c r="K424" i="21"/>
  <c r="O566" i="21"/>
  <c r="K593" i="21"/>
  <c r="K597" i="21"/>
  <c r="K158" i="22"/>
  <c r="P333" i="22"/>
  <c r="K370" i="22"/>
  <c r="O439" i="22"/>
  <c r="K631" i="22"/>
  <c r="I80" i="1"/>
  <c r="I113" i="1"/>
  <c r="J199" i="1"/>
  <c r="J204" i="1"/>
  <c r="L256" i="1"/>
  <c r="N294" i="1"/>
  <c r="I350" i="1"/>
  <c r="K350" i="1" s="1"/>
  <c r="I449" i="1"/>
  <c r="I470" i="1"/>
  <c r="K470" i="1" s="1"/>
  <c r="I475" i="1"/>
  <c r="K475" i="1" s="1"/>
  <c r="I489" i="1"/>
  <c r="K489" i="1" s="1"/>
  <c r="I591" i="1"/>
  <c r="L599" i="1"/>
  <c r="K92" i="2"/>
  <c r="M96" i="2"/>
  <c r="K117" i="2"/>
  <c r="P122" i="2"/>
  <c r="K138" i="2"/>
  <c r="L254" i="2"/>
  <c r="O254" i="2" s="1"/>
  <c r="J268" i="1"/>
  <c r="J281" i="1"/>
  <c r="M298" i="2"/>
  <c r="M26" i="2" s="1"/>
  <c r="M16" i="2" s="1"/>
  <c r="O457" i="2"/>
  <c r="K631" i="2"/>
  <c r="J78" i="1"/>
  <c r="J82" i="1"/>
  <c r="J233" i="1"/>
  <c r="M254" i="1"/>
  <c r="N357" i="1"/>
  <c r="J365" i="1"/>
  <c r="K432" i="3"/>
  <c r="O435" i="3"/>
  <c r="K482" i="3"/>
  <c r="J549" i="1"/>
  <c r="N556" i="1"/>
  <c r="O564" i="3"/>
  <c r="K623" i="3"/>
  <c r="K626" i="3"/>
  <c r="K235" i="4"/>
  <c r="N34" i="4"/>
  <c r="N14" i="4" s="1"/>
  <c r="K423" i="4"/>
  <c r="O437" i="4"/>
  <c r="N33" i="4"/>
  <c r="N13" i="4" s="1"/>
  <c r="K464" i="4"/>
  <c r="K498" i="4"/>
  <c r="K573" i="4"/>
  <c r="O584" i="4"/>
  <c r="O298" i="6"/>
  <c r="L26" i="6"/>
  <c r="O555" i="12"/>
  <c r="L34" i="12"/>
  <c r="O436" i="19"/>
  <c r="L31" i="19"/>
  <c r="L11" i="19" s="1"/>
  <c r="N61" i="1"/>
  <c r="I215" i="1"/>
  <c r="I266" i="1"/>
  <c r="L279" i="1"/>
  <c r="O279" i="1" s="1"/>
  <c r="I324" i="1"/>
  <c r="I377" i="1"/>
  <c r="I481" i="1"/>
  <c r="I502" i="1"/>
  <c r="K502" i="1" s="1"/>
  <c r="L581" i="1"/>
  <c r="O581" i="1" s="1"/>
  <c r="K84" i="2"/>
  <c r="K87" i="2"/>
  <c r="N96" i="2"/>
  <c r="N94" i="2" s="1"/>
  <c r="N383" i="1"/>
  <c r="K397" i="2"/>
  <c r="O401" i="2"/>
  <c r="K417" i="2"/>
  <c r="O437" i="2"/>
  <c r="K455" i="2"/>
  <c r="J496" i="1"/>
  <c r="K562" i="2"/>
  <c r="N68" i="3"/>
  <c r="N66" i="3" s="1"/>
  <c r="J301" i="1"/>
  <c r="N349" i="1"/>
  <c r="N33" i="3"/>
  <c r="N13" i="3" s="1"/>
  <c r="O459" i="3"/>
  <c r="K486" i="3"/>
  <c r="I519" i="1"/>
  <c r="I523" i="1"/>
  <c r="I527" i="1"/>
  <c r="I531" i="1"/>
  <c r="N533" i="1"/>
  <c r="K616" i="3"/>
  <c r="N55" i="4"/>
  <c r="N53" i="4" s="1"/>
  <c r="K173" i="4"/>
  <c r="K200" i="4"/>
  <c r="K270" i="4"/>
  <c r="N331" i="4"/>
  <c r="N329" i="4" s="1"/>
  <c r="N33" i="7"/>
  <c r="N13" i="7" s="1"/>
  <c r="M142" i="8"/>
  <c r="P144" i="8"/>
  <c r="I81" i="1"/>
  <c r="M144" i="1"/>
  <c r="I368" i="1"/>
  <c r="I372" i="1"/>
  <c r="I428" i="1"/>
  <c r="I450" i="1"/>
  <c r="I467" i="1"/>
  <c r="K467" i="1" s="1"/>
  <c r="I476" i="1"/>
  <c r="K476" i="1" s="1"/>
  <c r="I507" i="1"/>
  <c r="K507" i="1" s="1"/>
  <c r="I533" i="1"/>
  <c r="L600" i="1"/>
  <c r="O600" i="1" s="1"/>
  <c r="L98" i="2"/>
  <c r="O98" i="2" s="1"/>
  <c r="K112" i="2"/>
  <c r="K164" i="2"/>
  <c r="K185" i="2"/>
  <c r="I551" i="1"/>
  <c r="K381" i="3"/>
  <c r="J433" i="1"/>
  <c r="N436" i="1"/>
  <c r="O457" i="3"/>
  <c r="N120" i="4"/>
  <c r="N118" i="4" s="1"/>
  <c r="K328" i="4"/>
  <c r="K370" i="4"/>
  <c r="K396" i="4"/>
  <c r="O404" i="4"/>
  <c r="K424" i="4"/>
  <c r="O455" i="4"/>
  <c r="K499" i="4"/>
  <c r="O535" i="4"/>
  <c r="K591" i="4"/>
  <c r="K631" i="4"/>
  <c r="N22" i="6"/>
  <c r="N222" i="6"/>
  <c r="N220" i="6" s="1"/>
  <c r="L49" i="1"/>
  <c r="L74" i="1"/>
  <c r="I82" i="1"/>
  <c r="L228" i="1"/>
  <c r="O228" i="1" s="1"/>
  <c r="I267" i="1"/>
  <c r="L298" i="1"/>
  <c r="L337" i="1"/>
  <c r="I373" i="1"/>
  <c r="K373" i="1" s="1"/>
  <c r="L404" i="1"/>
  <c r="I468" i="1"/>
  <c r="K468" i="1" s="1"/>
  <c r="I472" i="1"/>
  <c r="K472" i="1" s="1"/>
  <c r="I491" i="1"/>
  <c r="K491" i="1" s="1"/>
  <c r="I513" i="1"/>
  <c r="K513" i="1" s="1"/>
  <c r="I560" i="1"/>
  <c r="I564" i="1"/>
  <c r="I593" i="1"/>
  <c r="L57" i="2"/>
  <c r="O57" i="2" s="1"/>
  <c r="N252" i="2"/>
  <c r="N250" i="2" s="1"/>
  <c r="L275" i="2"/>
  <c r="O275" i="2" s="1"/>
  <c r="K340" i="2"/>
  <c r="J372" i="1"/>
  <c r="K402" i="2"/>
  <c r="K430" i="2"/>
  <c r="K465" i="2"/>
  <c r="K497" i="2"/>
  <c r="N537" i="1"/>
  <c r="K633" i="2"/>
  <c r="N142" i="3"/>
  <c r="N140" i="3" s="1"/>
  <c r="N312" i="3"/>
  <c r="N310" i="3" s="1"/>
  <c r="J429" i="1"/>
  <c r="N43" i="4"/>
  <c r="N41" i="4" s="1"/>
  <c r="K626" i="4"/>
  <c r="L318" i="1"/>
  <c r="O318" i="1" s="1"/>
  <c r="L353" i="1"/>
  <c r="O353" i="1" s="1"/>
  <c r="I369" i="1"/>
  <c r="K369" i="1" s="1"/>
  <c r="I430" i="1"/>
  <c r="I500" i="1"/>
  <c r="K500" i="1" s="1"/>
  <c r="L567" i="1"/>
  <c r="O567" i="1" s="1"/>
  <c r="N356" i="1"/>
  <c r="J422" i="1"/>
  <c r="J451" i="1"/>
  <c r="O551" i="2"/>
  <c r="K560" i="2"/>
  <c r="K597" i="2"/>
  <c r="I617" i="1"/>
  <c r="L57" i="3"/>
  <c r="O57" i="3" s="1"/>
  <c r="K138" i="3"/>
  <c r="K158" i="3"/>
  <c r="J175" i="1"/>
  <c r="J185" i="1"/>
  <c r="J195" i="1"/>
  <c r="N273" i="3"/>
  <c r="N271" i="3" s="1"/>
  <c r="L294" i="3"/>
  <c r="L292" i="3" s="1"/>
  <c r="O292" i="3" s="1"/>
  <c r="P333" i="3"/>
  <c r="K340" i="3"/>
  <c r="K430" i="3"/>
  <c r="K450" i="3"/>
  <c r="O535" i="3"/>
  <c r="K547" i="3"/>
  <c r="L45" i="4"/>
  <c r="O45" i="4" s="1"/>
  <c r="L122" i="4"/>
  <c r="L120" i="4" s="1"/>
  <c r="K158" i="4"/>
  <c r="P254" i="4"/>
  <c r="K266" i="4"/>
  <c r="P337" i="4"/>
  <c r="O383" i="4"/>
  <c r="O401" i="4"/>
  <c r="K417" i="4"/>
  <c r="K628" i="4"/>
  <c r="K632" i="4"/>
  <c r="K417" i="6"/>
  <c r="K423" i="7"/>
  <c r="N55" i="9"/>
  <c r="N53" i="9" s="1"/>
  <c r="P57" i="9"/>
  <c r="N298" i="1"/>
  <c r="I339" i="1"/>
  <c r="K339" i="1" s="1"/>
  <c r="I420" i="1"/>
  <c r="J424" i="1"/>
  <c r="L458" i="1"/>
  <c r="O458" i="1" s="1"/>
  <c r="I473" i="1"/>
  <c r="L554" i="1"/>
  <c r="O554" i="1" s="1"/>
  <c r="I561" i="1"/>
  <c r="K561" i="1" s="1"/>
  <c r="K109" i="2"/>
  <c r="K113" i="2"/>
  <c r="N34" i="2"/>
  <c r="N14" i="2" s="1"/>
  <c r="N408" i="1"/>
  <c r="O567" i="9"/>
  <c r="L33" i="9"/>
  <c r="O33" i="9" s="1"/>
  <c r="M45" i="1"/>
  <c r="I112" i="1"/>
  <c r="L401" i="1"/>
  <c r="I484" i="1"/>
  <c r="K484" i="1" s="1"/>
  <c r="I488" i="1"/>
  <c r="K488" i="1" s="1"/>
  <c r="M120" i="2"/>
  <c r="M118" i="2" s="1"/>
  <c r="K304" i="2"/>
  <c r="L333" i="2"/>
  <c r="L331" i="2" s="1"/>
  <c r="L329" i="2" s="1"/>
  <c r="K370" i="2"/>
  <c r="O535" i="2"/>
  <c r="I631" i="1"/>
  <c r="J265" i="1"/>
  <c r="J270" i="1"/>
  <c r="L277" i="1"/>
  <c r="L314" i="3"/>
  <c r="O314" i="3" s="1"/>
  <c r="J324" i="1"/>
  <c r="O383" i="3"/>
  <c r="N388" i="1"/>
  <c r="J401" i="1"/>
  <c r="O404" i="3"/>
  <c r="K464" i="3"/>
  <c r="K573" i="3"/>
  <c r="K611" i="3"/>
  <c r="L57" i="4"/>
  <c r="L55" i="4" s="1"/>
  <c r="L98" i="4"/>
  <c r="O98" i="4" s="1"/>
  <c r="K110" i="4"/>
  <c r="K149" i="4"/>
  <c r="K267" i="4"/>
  <c r="K368" i="4"/>
  <c r="O380" i="4"/>
  <c r="K497" i="4"/>
  <c r="O533" i="4"/>
  <c r="K593" i="4"/>
  <c r="K629" i="4"/>
  <c r="K633" i="4"/>
  <c r="K450" i="6"/>
  <c r="K176" i="7"/>
  <c r="O385" i="7"/>
  <c r="N33" i="8"/>
  <c r="N13" i="8" s="1"/>
  <c r="N33" i="9"/>
  <c r="N13" i="9" s="1"/>
  <c r="K110" i="5"/>
  <c r="L224" i="5"/>
  <c r="O224" i="5" s="1"/>
  <c r="K380" i="5"/>
  <c r="K397" i="5"/>
  <c r="O401" i="5"/>
  <c r="K376" i="6"/>
  <c r="O435" i="6"/>
  <c r="K597" i="6"/>
  <c r="L45" i="7"/>
  <c r="L43" i="7" s="1"/>
  <c r="K186" i="7"/>
  <c r="K427" i="7"/>
  <c r="K435" i="7"/>
  <c r="K547" i="7"/>
  <c r="K398" i="8"/>
  <c r="O564" i="8"/>
  <c r="K422" i="9"/>
  <c r="K635" i="9"/>
  <c r="L314" i="10"/>
  <c r="O314" i="10" s="1"/>
  <c r="K423" i="10"/>
  <c r="K431" i="10"/>
  <c r="K597" i="10"/>
  <c r="K633" i="10"/>
  <c r="O380" i="11"/>
  <c r="O401" i="11"/>
  <c r="O437" i="5"/>
  <c r="K450" i="5"/>
  <c r="K340" i="6"/>
  <c r="K398" i="6"/>
  <c r="K402" i="6"/>
  <c r="K425" i="6"/>
  <c r="L333" i="8"/>
  <c r="L331" i="8" s="1"/>
  <c r="K377" i="8"/>
  <c r="K435" i="8"/>
  <c r="K450" i="8"/>
  <c r="K562" i="8"/>
  <c r="N68" i="9"/>
  <c r="N66" i="9" s="1"/>
  <c r="M96" i="9"/>
  <c r="P96" i="9" s="1"/>
  <c r="K450" i="9"/>
  <c r="L294" i="10"/>
  <c r="L292" i="10" s="1"/>
  <c r="O352" i="10"/>
  <c r="O385" i="10"/>
  <c r="K158" i="11"/>
  <c r="L333" i="11"/>
  <c r="O333" i="11" s="1"/>
  <c r="L144" i="5"/>
  <c r="O144" i="5" s="1"/>
  <c r="K164" i="5"/>
  <c r="K343" i="5"/>
  <c r="K249" i="6"/>
  <c r="L34" i="6"/>
  <c r="O597" i="6"/>
  <c r="L333" i="7"/>
  <c r="L331" i="7" s="1"/>
  <c r="K396" i="7"/>
  <c r="K562" i="7"/>
  <c r="O564" i="7"/>
  <c r="K563" i="8"/>
  <c r="K617" i="8"/>
  <c r="L144" i="9"/>
  <c r="O144" i="9" s="1"/>
  <c r="K216" i="9"/>
  <c r="L275" i="9"/>
  <c r="O275" i="9" s="1"/>
  <c r="K562" i="9"/>
  <c r="O568" i="9"/>
  <c r="K621" i="9"/>
  <c r="M68" i="10"/>
  <c r="P68" i="10" s="1"/>
  <c r="K189" i="10"/>
  <c r="K200" i="10"/>
  <c r="M250" i="10"/>
  <c r="P250" i="10" s="1"/>
  <c r="N252" i="10"/>
  <c r="N250" i="10" s="1"/>
  <c r="N331" i="10"/>
  <c r="N329" i="10" s="1"/>
  <c r="P329" i="10" s="1"/>
  <c r="K424" i="10"/>
  <c r="O533" i="10"/>
  <c r="K630" i="10"/>
  <c r="N273" i="11"/>
  <c r="N271" i="11" s="1"/>
  <c r="O457" i="11"/>
  <c r="L314" i="13"/>
  <c r="O314" i="13" s="1"/>
  <c r="O554" i="13"/>
  <c r="L33" i="13"/>
  <c r="O33" i="13" s="1"/>
  <c r="K111" i="5"/>
  <c r="N331" i="5"/>
  <c r="N329" i="5" s="1"/>
  <c r="K430" i="5"/>
  <c r="K435" i="5"/>
  <c r="K80" i="6"/>
  <c r="K235" i="6"/>
  <c r="L333" i="6"/>
  <c r="L331" i="6" s="1"/>
  <c r="L329" i="6" s="1"/>
  <c r="K345" i="6"/>
  <c r="K381" i="6"/>
  <c r="O49" i="7"/>
  <c r="K189" i="7"/>
  <c r="K200" i="7"/>
  <c r="K235" i="7"/>
  <c r="K341" i="7"/>
  <c r="N68" i="8"/>
  <c r="N66" i="8" s="1"/>
  <c r="K164" i="8"/>
  <c r="L224" i="8"/>
  <c r="O224" i="8" s="1"/>
  <c r="P275" i="8"/>
  <c r="K416" i="8"/>
  <c r="K424" i="8"/>
  <c r="K428" i="8"/>
  <c r="N34" i="8"/>
  <c r="N14" i="8" s="1"/>
  <c r="N312" i="9"/>
  <c r="N310" i="9" s="1"/>
  <c r="K481" i="13"/>
  <c r="M142" i="15"/>
  <c r="M140" i="15" s="1"/>
  <c r="P144" i="15"/>
  <c r="P49" i="7"/>
  <c r="O566" i="8"/>
  <c r="K229" i="9"/>
  <c r="K401" i="9"/>
  <c r="N120" i="10"/>
  <c r="N118" i="10" s="1"/>
  <c r="N142" i="10"/>
  <c r="N140" i="10" s="1"/>
  <c r="L254" i="10"/>
  <c r="O254" i="10" s="1"/>
  <c r="K375" i="10"/>
  <c r="N34" i="10"/>
  <c r="N14" i="10" s="1"/>
  <c r="K628" i="10"/>
  <c r="N43" i="11"/>
  <c r="P43" i="11" s="1"/>
  <c r="N120" i="11"/>
  <c r="N118" i="11" s="1"/>
  <c r="N142" i="11"/>
  <c r="N140" i="11" s="1"/>
  <c r="P140" i="11" s="1"/>
  <c r="N331" i="11"/>
  <c r="N329" i="11" s="1"/>
  <c r="K427" i="11"/>
  <c r="K430" i="11"/>
  <c r="O535" i="13"/>
  <c r="L32" i="13"/>
  <c r="L30" i="13" s="1"/>
  <c r="P57" i="5"/>
  <c r="K149" i="5"/>
  <c r="K201" i="5"/>
  <c r="K309" i="5"/>
  <c r="K341" i="5"/>
  <c r="K396" i="5"/>
  <c r="O404" i="5"/>
  <c r="O435" i="5"/>
  <c r="O455" i="5"/>
  <c r="N312" i="6"/>
  <c r="N310" i="6" s="1"/>
  <c r="P337" i="6"/>
  <c r="K370" i="6"/>
  <c r="K396" i="6"/>
  <c r="K423" i="6"/>
  <c r="N55" i="7"/>
  <c r="N53" i="7" s="1"/>
  <c r="P98" i="7"/>
  <c r="N312" i="7"/>
  <c r="N310" i="7" s="1"/>
  <c r="K402" i="7"/>
  <c r="K419" i="7"/>
  <c r="O337" i="8"/>
  <c r="K368" i="8"/>
  <c r="O383" i="8"/>
  <c r="K397" i="8"/>
  <c r="M68" i="9"/>
  <c r="P68" i="9" s="1"/>
  <c r="O337" i="9"/>
  <c r="L24" i="10"/>
  <c r="O24" i="10" s="1"/>
  <c r="M118" i="10"/>
  <c r="P118" i="10" s="1"/>
  <c r="P122" i="10"/>
  <c r="K422" i="10"/>
  <c r="M312" i="18"/>
  <c r="M310" i="18" s="1"/>
  <c r="P314" i="18"/>
  <c r="K113" i="5"/>
  <c r="L314" i="5"/>
  <c r="O314" i="5" s="1"/>
  <c r="O599" i="5"/>
  <c r="K611" i="5"/>
  <c r="N68" i="6"/>
  <c r="N66" i="6" s="1"/>
  <c r="N120" i="6"/>
  <c r="N118" i="6" s="1"/>
  <c r="P224" i="6"/>
  <c r="K375" i="6"/>
  <c r="K466" i="6"/>
  <c r="K498" i="6"/>
  <c r="O564" i="6"/>
  <c r="K629" i="6"/>
  <c r="N32" i="7"/>
  <c r="N30" i="7" s="1"/>
  <c r="K450" i="7"/>
  <c r="K350" i="8"/>
  <c r="K376" i="8"/>
  <c r="K597" i="8"/>
  <c r="K149" i="9"/>
  <c r="K219" i="9"/>
  <c r="O401" i="9"/>
  <c r="K564" i="9"/>
  <c r="K626" i="9"/>
  <c r="K270" i="10"/>
  <c r="N292" i="10"/>
  <c r="N290" i="10" s="1"/>
  <c r="K424" i="11"/>
  <c r="K428" i="11"/>
  <c r="O439" i="11"/>
  <c r="O459" i="11"/>
  <c r="K421" i="13"/>
  <c r="P98" i="15"/>
  <c r="M96" i="15"/>
  <c r="P96" i="15" s="1"/>
  <c r="K466" i="11"/>
  <c r="O564" i="11"/>
  <c r="K349" i="12"/>
  <c r="L144" i="13"/>
  <c r="L142" i="13" s="1"/>
  <c r="L224" i="13"/>
  <c r="L222" i="13" s="1"/>
  <c r="L220" i="13" s="1"/>
  <c r="L294" i="13"/>
  <c r="L292" i="13" s="1"/>
  <c r="K426" i="13"/>
  <c r="O457" i="13"/>
  <c r="K497" i="13"/>
  <c r="O564" i="13"/>
  <c r="K631" i="13"/>
  <c r="K635" i="13"/>
  <c r="K199" i="14"/>
  <c r="K614" i="14"/>
  <c r="K173" i="15"/>
  <c r="K199" i="15"/>
  <c r="P254" i="15"/>
  <c r="N331" i="15"/>
  <c r="N329" i="15" s="1"/>
  <c r="K428" i="15"/>
  <c r="K465" i="15"/>
  <c r="M292" i="17"/>
  <c r="P292" i="17" s="1"/>
  <c r="P294" i="17"/>
  <c r="P314" i="17"/>
  <c r="L294" i="21"/>
  <c r="L292" i="21" s="1"/>
  <c r="L290" i="21" s="1"/>
  <c r="O290" i="21" s="1"/>
  <c r="N34" i="11"/>
  <c r="N14" i="11" s="1"/>
  <c r="K616" i="11"/>
  <c r="L254" i="12"/>
  <c r="L252" i="12" s="1"/>
  <c r="K422" i="12"/>
  <c r="K429" i="12"/>
  <c r="N33" i="13"/>
  <c r="N13" i="13" s="1"/>
  <c r="K498" i="13"/>
  <c r="O568" i="13"/>
  <c r="K632" i="13"/>
  <c r="P45" i="14"/>
  <c r="L314" i="14"/>
  <c r="O314" i="14" s="1"/>
  <c r="K425" i="14"/>
  <c r="L333" i="15"/>
  <c r="O333" i="15" s="1"/>
  <c r="O352" i="15"/>
  <c r="K345" i="16"/>
  <c r="O533" i="16"/>
  <c r="L24" i="17"/>
  <c r="O24" i="17" s="1"/>
  <c r="O380" i="17"/>
  <c r="K343" i="18"/>
  <c r="O347" i="18"/>
  <c r="L122" i="22"/>
  <c r="O122" i="22" s="1"/>
  <c r="L23" i="22"/>
  <c r="O599" i="11"/>
  <c r="K635" i="11"/>
  <c r="K158" i="12"/>
  <c r="O349" i="12"/>
  <c r="O380" i="12"/>
  <c r="K164" i="13"/>
  <c r="K235" i="13"/>
  <c r="O347" i="13"/>
  <c r="O401" i="13"/>
  <c r="K450" i="13"/>
  <c r="K164" i="14"/>
  <c r="K235" i="14"/>
  <c r="K418" i="15"/>
  <c r="K466" i="15"/>
  <c r="N31" i="15"/>
  <c r="N11" i="15" s="1"/>
  <c r="N9" i="15" s="1"/>
  <c r="O601" i="16"/>
  <c r="L254" i="17"/>
  <c r="O254" i="17" s="1"/>
  <c r="I367" i="17"/>
  <c r="K367" i="17" s="1"/>
  <c r="K369" i="17"/>
  <c r="N33" i="17"/>
  <c r="N13" i="17" s="1"/>
  <c r="K481" i="11"/>
  <c r="K498" i="11"/>
  <c r="O537" i="11"/>
  <c r="K597" i="11"/>
  <c r="K632" i="11"/>
  <c r="K111" i="12"/>
  <c r="K265" i="12"/>
  <c r="K381" i="12"/>
  <c r="O385" i="12"/>
  <c r="K419" i="12"/>
  <c r="K423" i="12"/>
  <c r="K430" i="12"/>
  <c r="K455" i="12"/>
  <c r="O457" i="12"/>
  <c r="O535" i="12"/>
  <c r="K580" i="12"/>
  <c r="O582" i="12"/>
  <c r="K630" i="12"/>
  <c r="K229" i="13"/>
  <c r="K428" i="13"/>
  <c r="O435" i="13"/>
  <c r="O455" i="13"/>
  <c r="O459" i="13"/>
  <c r="K465" i="13"/>
  <c r="K633" i="13"/>
  <c r="K345" i="14"/>
  <c r="K419" i="14"/>
  <c r="K426" i="14"/>
  <c r="K450" i="14"/>
  <c r="O457" i="14"/>
  <c r="O599" i="14"/>
  <c r="K632" i="14"/>
  <c r="L70" i="15"/>
  <c r="L68" i="15" s="1"/>
  <c r="L66" i="15" s="1"/>
  <c r="O66" i="15" s="1"/>
  <c r="K229" i="15"/>
  <c r="N273" i="15"/>
  <c r="P273" i="15" s="1"/>
  <c r="O582" i="15"/>
  <c r="K92" i="16"/>
  <c r="K111" i="16"/>
  <c r="K149" i="17"/>
  <c r="K427" i="17"/>
  <c r="O439" i="17"/>
  <c r="P70" i="18"/>
  <c r="K83" i="18"/>
  <c r="P254" i="18"/>
  <c r="M252" i="18"/>
  <c r="M250" i="18" s="1"/>
  <c r="P250" i="18" s="1"/>
  <c r="O439" i="18"/>
  <c r="K466" i="18"/>
  <c r="P45" i="19"/>
  <c r="K264" i="19"/>
  <c r="K466" i="19"/>
  <c r="K474" i="19"/>
  <c r="K482" i="19"/>
  <c r="K580" i="19"/>
  <c r="K589" i="19"/>
  <c r="K164" i="20"/>
  <c r="L57" i="21"/>
  <c r="O57" i="21" s="1"/>
  <c r="K449" i="21"/>
  <c r="O457" i="21"/>
  <c r="K474" i="21"/>
  <c r="K482" i="11"/>
  <c r="K108" i="12"/>
  <c r="K416" i="12"/>
  <c r="K533" i="12"/>
  <c r="K149" i="13"/>
  <c r="K563" i="13"/>
  <c r="L57" i="14"/>
  <c r="O57" i="14" s="1"/>
  <c r="K328" i="14"/>
  <c r="K435" i="14"/>
  <c r="O535" i="14"/>
  <c r="K573" i="14"/>
  <c r="L26" i="15"/>
  <c r="L16" i="15" s="1"/>
  <c r="K138" i="15"/>
  <c r="N142" i="15"/>
  <c r="N140" i="15" s="1"/>
  <c r="K350" i="15"/>
  <c r="K375" i="15"/>
  <c r="K380" i="15"/>
  <c r="K423" i="15"/>
  <c r="K455" i="15"/>
  <c r="K482" i="15"/>
  <c r="K108" i="16"/>
  <c r="K450" i="16"/>
  <c r="K340" i="17"/>
  <c r="K499" i="17"/>
  <c r="K597" i="17"/>
  <c r="K633" i="17"/>
  <c r="K216" i="18"/>
  <c r="K428" i="18"/>
  <c r="K564" i="18"/>
  <c r="K573" i="18"/>
  <c r="K635" i="18"/>
  <c r="N33" i="19"/>
  <c r="N13" i="19" s="1"/>
  <c r="K375" i="19"/>
  <c r="K380" i="19"/>
  <c r="O404" i="19"/>
  <c r="K235" i="20"/>
  <c r="O564" i="20"/>
  <c r="O568" i="20"/>
  <c r="O401" i="21"/>
  <c r="K465" i="11"/>
  <c r="K624" i="11"/>
  <c r="K629" i="11"/>
  <c r="L122" i="12"/>
  <c r="L275" i="12"/>
  <c r="L273" i="12" s="1"/>
  <c r="K340" i="12"/>
  <c r="K81" i="13"/>
  <c r="N120" i="13"/>
  <c r="N118" i="13" s="1"/>
  <c r="K138" i="13"/>
  <c r="K199" i="13"/>
  <c r="M312" i="13"/>
  <c r="P312" i="13" s="1"/>
  <c r="O337" i="13"/>
  <c r="K425" i="13"/>
  <c r="K482" i="13"/>
  <c r="K621" i="13"/>
  <c r="K630" i="13"/>
  <c r="N273" i="14"/>
  <c r="N271" i="14" s="1"/>
  <c r="P70" i="20"/>
  <c r="M68" i="20"/>
  <c r="M66" i="20" s="1"/>
  <c r="P66" i="20" s="1"/>
  <c r="L31" i="11"/>
  <c r="L29" i="11" s="1"/>
  <c r="K621" i="11"/>
  <c r="P122" i="13"/>
  <c r="P144" i="13"/>
  <c r="N312" i="14"/>
  <c r="N310" i="14" s="1"/>
  <c r="P333" i="14"/>
  <c r="K424" i="14"/>
  <c r="O439" i="14"/>
  <c r="N252" i="15"/>
  <c r="N250" i="15" s="1"/>
  <c r="N34" i="15"/>
  <c r="N14" i="15" s="1"/>
  <c r="N32" i="15"/>
  <c r="N30" i="15" s="1"/>
  <c r="K615" i="15"/>
  <c r="K631" i="15"/>
  <c r="M102" i="16"/>
  <c r="P102" i="16" s="1"/>
  <c r="O102" i="16"/>
  <c r="K381" i="16"/>
  <c r="P45" i="17"/>
  <c r="N43" i="17"/>
  <c r="N41" i="17" s="1"/>
  <c r="N68" i="17"/>
  <c r="N66" i="17" s="1"/>
  <c r="L34" i="19"/>
  <c r="K562" i="20"/>
  <c r="M337" i="21"/>
  <c r="P337" i="21" s="1"/>
  <c r="L314" i="22"/>
  <c r="L312" i="22" s="1"/>
  <c r="K427" i="22"/>
  <c r="O535" i="17"/>
  <c r="N31" i="17"/>
  <c r="N29" i="17" s="1"/>
  <c r="L45" i="18"/>
  <c r="O45" i="18" s="1"/>
  <c r="K176" i="18"/>
  <c r="N312" i="18"/>
  <c r="N310" i="18" s="1"/>
  <c r="I367" i="18"/>
  <c r="K367" i="18" s="1"/>
  <c r="O380" i="18"/>
  <c r="K117" i="19"/>
  <c r="K340" i="19"/>
  <c r="O401" i="19"/>
  <c r="O457" i="19"/>
  <c r="K633" i="19"/>
  <c r="N120" i="20"/>
  <c r="N118" i="20" s="1"/>
  <c r="N142" i="20"/>
  <c r="N140" i="20" s="1"/>
  <c r="N273" i="20"/>
  <c r="N271" i="20" s="1"/>
  <c r="K563" i="20"/>
  <c r="N26" i="21"/>
  <c r="N16" i="21" s="1"/>
  <c r="L122" i="21"/>
  <c r="O122" i="21" s="1"/>
  <c r="L224" i="21"/>
  <c r="L222" i="21" s="1"/>
  <c r="K328" i="21"/>
  <c r="K377" i="21"/>
  <c r="O406" i="21"/>
  <c r="K426" i="21"/>
  <c r="K450" i="21"/>
  <c r="K620" i="21"/>
  <c r="K375" i="22"/>
  <c r="K401" i="22"/>
  <c r="K621" i="22"/>
  <c r="K634" i="22"/>
  <c r="K113" i="16"/>
  <c r="N292" i="16"/>
  <c r="N290" i="16" s="1"/>
  <c r="N33" i="16"/>
  <c r="N13" i="16" s="1"/>
  <c r="K497" i="16"/>
  <c r="K199" i="17"/>
  <c r="L294" i="17"/>
  <c r="O294" i="17" s="1"/>
  <c r="K341" i="17"/>
  <c r="K377" i="17"/>
  <c r="K425" i="17"/>
  <c r="O457" i="17"/>
  <c r="N142" i="18"/>
  <c r="N140" i="18" s="1"/>
  <c r="K213" i="18"/>
  <c r="K270" i="18"/>
  <c r="L294" i="18"/>
  <c r="L292" i="18" s="1"/>
  <c r="O599" i="18"/>
  <c r="N96" i="19"/>
  <c r="N94" i="19" s="1"/>
  <c r="K138" i="19"/>
  <c r="P144" i="19"/>
  <c r="P224" i="19"/>
  <c r="N273" i="19"/>
  <c r="N271" i="19" s="1"/>
  <c r="N312" i="19"/>
  <c r="N310" i="19" s="1"/>
  <c r="N43" i="21"/>
  <c r="N41" i="21" s="1"/>
  <c r="K427" i="21"/>
  <c r="N292" i="22"/>
  <c r="N290" i="22" s="1"/>
  <c r="O353" i="22"/>
  <c r="N32" i="22"/>
  <c r="N30" i="22" s="1"/>
  <c r="O347" i="16"/>
  <c r="K421" i="16"/>
  <c r="K498" i="16"/>
  <c r="K633" i="16"/>
  <c r="L224" i="17"/>
  <c r="L222" i="17" s="1"/>
  <c r="L220" i="17" s="1"/>
  <c r="K370" i="17"/>
  <c r="K398" i="17"/>
  <c r="K497" i="17"/>
  <c r="K562" i="17"/>
  <c r="N120" i="18"/>
  <c r="N118" i="18" s="1"/>
  <c r="N252" i="18"/>
  <c r="N250" i="18" s="1"/>
  <c r="K419" i="18"/>
  <c r="K422" i="18"/>
  <c r="K450" i="18"/>
  <c r="N142" i="19"/>
  <c r="N140" i="19" s="1"/>
  <c r="P140" i="19" s="1"/>
  <c r="L333" i="19"/>
  <c r="O333" i="19" s="1"/>
  <c r="O352" i="19"/>
  <c r="K377" i="19"/>
  <c r="K426" i="19"/>
  <c r="K498" i="19"/>
  <c r="K595" i="19"/>
  <c r="O601" i="19"/>
  <c r="K617" i="19"/>
  <c r="K199" i="20"/>
  <c r="O435" i="20"/>
  <c r="O537" i="20"/>
  <c r="K612" i="20"/>
  <c r="K64" i="21"/>
  <c r="M292" i="21"/>
  <c r="P292" i="21" s="1"/>
  <c r="K370" i="21"/>
  <c r="K613" i="21"/>
  <c r="N120" i="22"/>
  <c r="N118" i="22" s="1"/>
  <c r="K189" i="22"/>
  <c r="K200" i="22"/>
  <c r="O401" i="22"/>
  <c r="K429" i="22"/>
  <c r="O537" i="22"/>
  <c r="O597" i="22"/>
  <c r="O601" i="22"/>
  <c r="N96" i="16"/>
  <c r="N94" i="16" s="1"/>
  <c r="P294" i="16"/>
  <c r="K429" i="16"/>
  <c r="N34" i="16"/>
  <c r="N14" i="16" s="1"/>
  <c r="K164" i="17"/>
  <c r="K419" i="17"/>
  <c r="O437" i="17"/>
  <c r="K450" i="17"/>
  <c r="K345" i="18"/>
  <c r="L144" i="19"/>
  <c r="O144" i="19" s="1"/>
  <c r="O385" i="19"/>
  <c r="L32" i="19"/>
  <c r="L30" i="19" s="1"/>
  <c r="N222" i="20"/>
  <c r="P222" i="20" s="1"/>
  <c r="K264" i="21"/>
  <c r="L333" i="21"/>
  <c r="O333" i="21" s="1"/>
  <c r="K428" i="21"/>
  <c r="O564" i="21"/>
  <c r="N55" i="22"/>
  <c r="P55" i="22" s="1"/>
  <c r="N96" i="22"/>
  <c r="N94" i="22" s="1"/>
  <c r="L98" i="16"/>
  <c r="L96" i="16" s="1"/>
  <c r="L94" i="16" s="1"/>
  <c r="K229" i="16"/>
  <c r="L294" i="16"/>
  <c r="K398" i="16"/>
  <c r="K402" i="16"/>
  <c r="K422" i="16"/>
  <c r="N31" i="16"/>
  <c r="N29" i="16" s="1"/>
  <c r="K449" i="16"/>
  <c r="K533" i="16"/>
  <c r="K85" i="17"/>
  <c r="K158" i="17"/>
  <c r="N292" i="17"/>
  <c r="N290" i="17" s="1"/>
  <c r="K328" i="17"/>
  <c r="O347" i="17"/>
  <c r="K430" i="17"/>
  <c r="K435" i="17"/>
  <c r="K498" i="17"/>
  <c r="O599" i="17"/>
  <c r="K632" i="17"/>
  <c r="K82" i="18"/>
  <c r="K173" i="18"/>
  <c r="K199" i="18"/>
  <c r="K306" i="18"/>
  <c r="K396" i="18"/>
  <c r="K420" i="18"/>
  <c r="K427" i="18"/>
  <c r="O459" i="18"/>
  <c r="K465" i="18"/>
  <c r="O537" i="18"/>
  <c r="N33" i="18"/>
  <c r="N13" i="18" s="1"/>
  <c r="K634" i="18"/>
  <c r="K109" i="19"/>
  <c r="K164" i="19"/>
  <c r="K201" i="19"/>
  <c r="P337" i="19"/>
  <c r="K416" i="19"/>
  <c r="O439" i="19"/>
  <c r="K499" i="19"/>
  <c r="K562" i="19"/>
  <c r="K173" i="20"/>
  <c r="L224" i="20"/>
  <c r="O224" i="20" s="1"/>
  <c r="K416" i="20"/>
  <c r="K424" i="20"/>
  <c r="K432" i="20"/>
  <c r="O599" i="20"/>
  <c r="K628" i="20"/>
  <c r="K65" i="21"/>
  <c r="N22" i="21"/>
  <c r="L144" i="21"/>
  <c r="O144" i="21" s="1"/>
  <c r="K341" i="21"/>
  <c r="K345" i="21"/>
  <c r="O349" i="21"/>
  <c r="K375" i="21"/>
  <c r="K466" i="21"/>
  <c r="K562" i="21"/>
  <c r="O582" i="21"/>
  <c r="L98" i="22"/>
  <c r="O98" i="22" s="1"/>
  <c r="K164" i="22"/>
  <c r="K622" i="2"/>
  <c r="K626" i="2"/>
  <c r="K625" i="2"/>
  <c r="I620" i="1"/>
  <c r="I490" i="1"/>
  <c r="K490" i="1" s="1"/>
  <c r="K490" i="3"/>
  <c r="I88" i="1"/>
  <c r="O49" i="2"/>
  <c r="N43" i="2"/>
  <c r="N41" i="2" s="1"/>
  <c r="J448" i="1"/>
  <c r="I477" i="1"/>
  <c r="K477" i="1" s="1"/>
  <c r="K477" i="2"/>
  <c r="I509" i="1"/>
  <c r="K509" i="1" s="1"/>
  <c r="K509" i="2"/>
  <c r="L601" i="1"/>
  <c r="O601" i="2"/>
  <c r="K285" i="3"/>
  <c r="I285" i="1"/>
  <c r="J416" i="1"/>
  <c r="K416" i="3"/>
  <c r="I474" i="1"/>
  <c r="K474" i="3"/>
  <c r="K499" i="3"/>
  <c r="I506" i="1"/>
  <c r="K506" i="1" s="1"/>
  <c r="K506" i="3"/>
  <c r="O383" i="2"/>
  <c r="L383" i="1"/>
  <c r="I85" i="1"/>
  <c r="K342" i="2"/>
  <c r="I342" i="1"/>
  <c r="K342" i="1" s="1"/>
  <c r="J345" i="1"/>
  <c r="K345" i="2"/>
  <c r="L436" i="1"/>
  <c r="O436" i="1" s="1"/>
  <c r="O436" i="2"/>
  <c r="N567" i="1"/>
  <c r="N33" i="2"/>
  <c r="N13" i="2" s="1"/>
  <c r="K573" i="2"/>
  <c r="J573" i="1"/>
  <c r="I578" i="1"/>
  <c r="K578" i="1" s="1"/>
  <c r="K578" i="2"/>
  <c r="K595" i="2"/>
  <c r="I595" i="1"/>
  <c r="I635" i="1"/>
  <c r="K635" i="2"/>
  <c r="O455" i="3"/>
  <c r="P49" i="4"/>
  <c r="M26" i="4"/>
  <c r="M16" i="4" s="1"/>
  <c r="K249" i="3"/>
  <c r="I249" i="1"/>
  <c r="J264" i="1"/>
  <c r="K264" i="2"/>
  <c r="K380" i="2"/>
  <c r="J380" i="1"/>
  <c r="I429" i="1"/>
  <c r="K429" i="2"/>
  <c r="K592" i="2"/>
  <c r="I592" i="1"/>
  <c r="K592" i="1" s="1"/>
  <c r="I452" i="1"/>
  <c r="K452" i="1" s="1"/>
  <c r="K452" i="3"/>
  <c r="O533" i="3"/>
  <c r="I376" i="1"/>
  <c r="I216" i="1"/>
  <c r="K216" i="3"/>
  <c r="I64" i="1"/>
  <c r="L258" i="1"/>
  <c r="O258" i="1" s="1"/>
  <c r="I493" i="1"/>
  <c r="K493" i="1" s="1"/>
  <c r="O148" i="2"/>
  <c r="L26" i="2"/>
  <c r="L16" i="2" s="1"/>
  <c r="I328" i="1"/>
  <c r="K328" i="2"/>
  <c r="I422" i="1"/>
  <c r="K422" i="2"/>
  <c r="K451" i="2"/>
  <c r="I451" i="1"/>
  <c r="O583" i="2"/>
  <c r="L583" i="1"/>
  <c r="K589" i="2"/>
  <c r="I589" i="1"/>
  <c r="M292" i="3"/>
  <c r="P292" i="3" s="1"/>
  <c r="P294" i="3"/>
  <c r="K480" i="3"/>
  <c r="I480" i="1"/>
  <c r="K480" i="1" s="1"/>
  <c r="K512" i="3"/>
  <c r="I512" i="1"/>
  <c r="K512" i="1" s="1"/>
  <c r="M252" i="3"/>
  <c r="M250" i="3" s="1"/>
  <c r="P254" i="3"/>
  <c r="I289" i="1"/>
  <c r="I628" i="1"/>
  <c r="P224" i="2"/>
  <c r="M224" i="1"/>
  <c r="O406" i="2"/>
  <c r="L406" i="1"/>
  <c r="N455" i="1"/>
  <c r="N534" i="1"/>
  <c r="N31" i="2"/>
  <c r="N29" i="2" s="1"/>
  <c r="K343" i="3"/>
  <c r="I343" i="1"/>
  <c r="L380" i="1"/>
  <c r="K425" i="2"/>
  <c r="J425" i="1"/>
  <c r="P49" i="2"/>
  <c r="L294" i="2"/>
  <c r="L295" i="1"/>
  <c r="N314" i="1"/>
  <c r="P314" i="2"/>
  <c r="L352" i="1"/>
  <c r="L32" i="2"/>
  <c r="L30" i="2" s="1"/>
  <c r="O403" i="2"/>
  <c r="L403" i="1"/>
  <c r="O403" i="1" s="1"/>
  <c r="O439" i="2"/>
  <c r="L439" i="1"/>
  <c r="O580" i="2"/>
  <c r="L580" i="1"/>
  <c r="N31" i="3"/>
  <c r="N29" i="3" s="1"/>
  <c r="O352" i="2"/>
  <c r="K376" i="2"/>
  <c r="K464" i="2"/>
  <c r="K551" i="2"/>
  <c r="K632" i="2"/>
  <c r="L45" i="3"/>
  <c r="O45" i="3" s="1"/>
  <c r="L98" i="3"/>
  <c r="L96" i="3" s="1"/>
  <c r="O96" i="3" s="1"/>
  <c r="K423" i="3"/>
  <c r="O437" i="3"/>
  <c r="K449" i="3"/>
  <c r="K612" i="3"/>
  <c r="N68" i="4"/>
  <c r="N66" i="4" s="1"/>
  <c r="K345" i="4"/>
  <c r="K376" i="4"/>
  <c r="K397" i="4"/>
  <c r="N142" i="6"/>
  <c r="N140" i="6" s="1"/>
  <c r="K173" i="6"/>
  <c r="K266" i="6"/>
  <c r="P333" i="6"/>
  <c r="P70" i="7"/>
  <c r="M68" i="7"/>
  <c r="P68" i="7" s="1"/>
  <c r="K430" i="9"/>
  <c r="P45" i="2"/>
  <c r="N55" i="2"/>
  <c r="N53" i="2" s="1"/>
  <c r="K158" i="2"/>
  <c r="L224" i="2"/>
  <c r="K265" i="2"/>
  <c r="K270" i="2"/>
  <c r="N273" i="2"/>
  <c r="N271" i="2" s="1"/>
  <c r="L314" i="2"/>
  <c r="O314" i="2" s="1"/>
  <c r="K401" i="2"/>
  <c r="O459" i="2"/>
  <c r="K547" i="2"/>
  <c r="K617" i="2"/>
  <c r="L34" i="3"/>
  <c r="K186" i="3"/>
  <c r="K235" i="3"/>
  <c r="K417" i="3"/>
  <c r="K465" i="3"/>
  <c r="K481" i="3"/>
  <c r="K497" i="3"/>
  <c r="K562" i="3"/>
  <c r="L23" i="4"/>
  <c r="O23" i="4" s="1"/>
  <c r="L32" i="4"/>
  <c r="L30" i="4" s="1"/>
  <c r="K108" i="4"/>
  <c r="K176" i="4"/>
  <c r="O349" i="4"/>
  <c r="O352" i="4"/>
  <c r="K377" i="4"/>
  <c r="K381" i="4"/>
  <c r="K398" i="4"/>
  <c r="O406" i="4"/>
  <c r="K418" i="4"/>
  <c r="K422" i="4"/>
  <c r="K425" i="4"/>
  <c r="O568" i="4"/>
  <c r="L31" i="5"/>
  <c r="M49" i="5"/>
  <c r="N55" i="5"/>
  <c r="N53" i="5" s="1"/>
  <c r="L98" i="5"/>
  <c r="O98" i="5" s="1"/>
  <c r="K108" i="5"/>
  <c r="P122" i="5"/>
  <c r="M222" i="5"/>
  <c r="P222" i="5" s="1"/>
  <c r="L333" i="5"/>
  <c r="O333" i="5" s="1"/>
  <c r="N34" i="5"/>
  <c r="N14" i="5" s="1"/>
  <c r="K423" i="5"/>
  <c r="K426" i="5"/>
  <c r="K497" i="5"/>
  <c r="K564" i="5"/>
  <c r="K573" i="5"/>
  <c r="L33" i="6"/>
  <c r="O33" i="6" s="1"/>
  <c r="M222" i="6"/>
  <c r="M220" i="6" s="1"/>
  <c r="K285" i="6"/>
  <c r="K328" i="6"/>
  <c r="N331" i="6"/>
  <c r="N329" i="6" s="1"/>
  <c r="K343" i="6"/>
  <c r="K424" i="6"/>
  <c r="K455" i="6"/>
  <c r="K631" i="6"/>
  <c r="P224" i="7"/>
  <c r="K623" i="7"/>
  <c r="K624" i="7"/>
  <c r="K626" i="7"/>
  <c r="K620" i="7"/>
  <c r="K621" i="7"/>
  <c r="K372" i="8"/>
  <c r="O537" i="8"/>
  <c r="K628" i="8"/>
  <c r="K632" i="8"/>
  <c r="O380" i="2"/>
  <c r="K426" i="2"/>
  <c r="K614" i="2"/>
  <c r="I367" i="4"/>
  <c r="K367" i="4" s="1"/>
  <c r="N31" i="4"/>
  <c r="M252" i="6"/>
  <c r="M250" i="6" s="1"/>
  <c r="P254" i="6"/>
  <c r="N33" i="6"/>
  <c r="N13" i="6" s="1"/>
  <c r="I367" i="8"/>
  <c r="K367" i="8" s="1"/>
  <c r="K369" i="8"/>
  <c r="M22" i="11"/>
  <c r="M12" i="11" s="1"/>
  <c r="M10" i="11" s="1"/>
  <c r="P57" i="11"/>
  <c r="M55" i="11"/>
  <c r="M53" i="11" s="1"/>
  <c r="O405" i="19"/>
  <c r="L33" i="19"/>
  <c r="O33" i="19" s="1"/>
  <c r="L33" i="20"/>
  <c r="O33" i="20" s="1"/>
  <c r="O536" i="20"/>
  <c r="L34" i="2"/>
  <c r="L45" i="2"/>
  <c r="L43" i="2" s="1"/>
  <c r="N120" i="2"/>
  <c r="N118" i="2" s="1"/>
  <c r="K186" i="2"/>
  <c r="K266" i="2"/>
  <c r="K285" i="2"/>
  <c r="O347" i="2"/>
  <c r="K350" i="2"/>
  <c r="K381" i="2"/>
  <c r="K427" i="2"/>
  <c r="K435" i="2"/>
  <c r="K213" i="3"/>
  <c r="K229" i="3"/>
  <c r="K267" i="3"/>
  <c r="K431" i="3"/>
  <c r="K563" i="3"/>
  <c r="K620" i="3"/>
  <c r="K628" i="3"/>
  <c r="N32" i="4"/>
  <c r="N30" i="4" s="1"/>
  <c r="K186" i="4"/>
  <c r="K426" i="4"/>
  <c r="K547" i="4"/>
  <c r="K595" i="4"/>
  <c r="O102" i="5"/>
  <c r="K109" i="5"/>
  <c r="L122" i="5"/>
  <c r="O122" i="5" s="1"/>
  <c r="K173" i="5"/>
  <c r="L275" i="5"/>
  <c r="O275" i="5" s="1"/>
  <c r="P337" i="5"/>
  <c r="O383" i="5"/>
  <c r="K401" i="5"/>
  <c r="K473" i="5"/>
  <c r="O568" i="5"/>
  <c r="N26" i="6"/>
  <c r="N16" i="6" s="1"/>
  <c r="P16" i="6" s="1"/>
  <c r="L57" i="6"/>
  <c r="L55" i="6" s="1"/>
  <c r="L70" i="6"/>
  <c r="O70" i="6" s="1"/>
  <c r="K158" i="6"/>
  <c r="O385" i="6"/>
  <c r="K418" i="6"/>
  <c r="O535" i="6"/>
  <c r="K632" i="6"/>
  <c r="N55" i="8"/>
  <c r="N53" i="8" s="1"/>
  <c r="P57" i="8"/>
  <c r="K624" i="8"/>
  <c r="K625" i="8"/>
  <c r="K620" i="8"/>
  <c r="J376" i="1"/>
  <c r="N32" i="2"/>
  <c r="N30" i="2" s="1"/>
  <c r="O102" i="2"/>
  <c r="K132" i="2"/>
  <c r="P144" i="2"/>
  <c r="K235" i="2"/>
  <c r="P254" i="2"/>
  <c r="N312" i="2"/>
  <c r="N310" i="2" s="1"/>
  <c r="O354" i="2"/>
  <c r="K368" i="2"/>
  <c r="K466" i="2"/>
  <c r="K482" i="2"/>
  <c r="K498" i="2"/>
  <c r="O533" i="2"/>
  <c r="K564" i="2"/>
  <c r="K618" i="2"/>
  <c r="K173" i="3"/>
  <c r="K219" i="3"/>
  <c r="K345" i="3"/>
  <c r="K425" i="3"/>
  <c r="N32" i="3"/>
  <c r="N30" i="3" s="1"/>
  <c r="O566" i="3"/>
  <c r="L33" i="4"/>
  <c r="O33" i="4" s="1"/>
  <c r="M22" i="4"/>
  <c r="K93" i="4"/>
  <c r="K138" i="4"/>
  <c r="N142" i="4"/>
  <c r="N140" i="4" s="1"/>
  <c r="K265" i="4"/>
  <c r="L333" i="4"/>
  <c r="O333" i="4" s="1"/>
  <c r="O347" i="4"/>
  <c r="K420" i="4"/>
  <c r="K427" i="4"/>
  <c r="K435" i="4"/>
  <c r="K533" i="4"/>
  <c r="K580" i="4"/>
  <c r="O582" i="4"/>
  <c r="K634" i="4"/>
  <c r="P45" i="5"/>
  <c r="K306" i="5"/>
  <c r="K345" i="5"/>
  <c r="O349" i="5"/>
  <c r="O352" i="5"/>
  <c r="K370" i="5"/>
  <c r="K428" i="5"/>
  <c r="O457" i="5"/>
  <c r="K474" i="5"/>
  <c r="K481" i="5"/>
  <c r="K562" i="5"/>
  <c r="O597" i="5"/>
  <c r="O601" i="5"/>
  <c r="K620" i="5"/>
  <c r="K81" i="6"/>
  <c r="K219" i="6"/>
  <c r="K264" i="6"/>
  <c r="K372" i="6"/>
  <c r="K620" i="6"/>
  <c r="K621" i="6"/>
  <c r="K623" i="6"/>
  <c r="O347" i="7"/>
  <c r="N31" i="7"/>
  <c r="N29" i="7" s="1"/>
  <c r="K173" i="8"/>
  <c r="L45" i="9"/>
  <c r="L43" i="9" s="1"/>
  <c r="L41" i="9" s="1"/>
  <c r="K158" i="9"/>
  <c r="K93" i="12"/>
  <c r="K377" i="12"/>
  <c r="L24" i="2"/>
  <c r="O24" i="2" s="1"/>
  <c r="N26" i="5"/>
  <c r="N16" i="5" s="1"/>
  <c r="O352" i="8"/>
  <c r="L32" i="8"/>
  <c r="O49" i="10"/>
  <c r="M49" i="10"/>
  <c r="M43" i="10" s="1"/>
  <c r="N352" i="1"/>
  <c r="I419" i="1"/>
  <c r="M22" i="2"/>
  <c r="L31" i="2"/>
  <c r="L33" i="2"/>
  <c r="O33" i="2" s="1"/>
  <c r="M55" i="2"/>
  <c r="M53" i="2" s="1"/>
  <c r="K93" i="2"/>
  <c r="P98" i="2"/>
  <c r="K110" i="2"/>
  <c r="K133" i="2"/>
  <c r="K173" i="2"/>
  <c r="K189" i="2"/>
  <c r="K219" i="2"/>
  <c r="K229" i="2"/>
  <c r="K267" i="2"/>
  <c r="K309" i="2"/>
  <c r="K372" i="2"/>
  <c r="K499" i="2"/>
  <c r="O537" i="2"/>
  <c r="O553" i="2"/>
  <c r="O564" i="2"/>
  <c r="K164" i="3"/>
  <c r="L224" i="3"/>
  <c r="L222" i="3" s="1"/>
  <c r="L220" i="3" s="1"/>
  <c r="K265" i="3"/>
  <c r="K270" i="3"/>
  <c r="K401" i="3"/>
  <c r="K426" i="3"/>
  <c r="K429" i="3"/>
  <c r="K564" i="3"/>
  <c r="K618" i="3"/>
  <c r="L31" i="4"/>
  <c r="L29" i="4" s="1"/>
  <c r="L144" i="4"/>
  <c r="O144" i="4" s="1"/>
  <c r="K219" i="4"/>
  <c r="P224" i="4"/>
  <c r="N273" i="4"/>
  <c r="N271" i="4" s="1"/>
  <c r="K341" i="4"/>
  <c r="K380" i="4"/>
  <c r="K401" i="4"/>
  <c r="K428" i="4"/>
  <c r="K618" i="4"/>
  <c r="L23" i="5"/>
  <c r="O23" i="5" s="1"/>
  <c r="K133" i="5"/>
  <c r="M142" i="5"/>
  <c r="O380" i="5"/>
  <c r="O406" i="5"/>
  <c r="K425" i="5"/>
  <c r="K429" i="5"/>
  <c r="O439" i="5"/>
  <c r="K464" i="5"/>
  <c r="K547" i="5"/>
  <c r="K563" i="5"/>
  <c r="K619" i="5"/>
  <c r="P45" i="6"/>
  <c r="K64" i="6"/>
  <c r="M331" i="6"/>
  <c r="M329" i="6" s="1"/>
  <c r="O337" i="6"/>
  <c r="O352" i="6"/>
  <c r="N31" i="6"/>
  <c r="N29" i="6" s="1"/>
  <c r="K573" i="7"/>
  <c r="P45" i="8"/>
  <c r="M22" i="8"/>
  <c r="M12" i="8" s="1"/>
  <c r="M43" i="8"/>
  <c r="M41" i="8" s="1"/>
  <c r="L314" i="8"/>
  <c r="L312" i="8" s="1"/>
  <c r="N32" i="8"/>
  <c r="N30" i="8" s="1"/>
  <c r="K615" i="3"/>
  <c r="L275" i="4"/>
  <c r="O275" i="4" s="1"/>
  <c r="L294" i="4"/>
  <c r="K455" i="4"/>
  <c r="O457" i="4"/>
  <c r="K474" i="4"/>
  <c r="K589" i="4"/>
  <c r="K611" i="4"/>
  <c r="K93" i="5"/>
  <c r="M120" i="5"/>
  <c r="K200" i="5"/>
  <c r="O385" i="5"/>
  <c r="K422" i="5"/>
  <c r="O566" i="5"/>
  <c r="K630" i="5"/>
  <c r="P144" i="6"/>
  <c r="K201" i="6"/>
  <c r="K397" i="6"/>
  <c r="O404" i="6"/>
  <c r="L254" i="7"/>
  <c r="O254" i="7" s="1"/>
  <c r="P294" i="7"/>
  <c r="M292" i="7"/>
  <c r="P292" i="7" s="1"/>
  <c r="K428" i="7"/>
  <c r="K426" i="9"/>
  <c r="O437" i="9"/>
  <c r="K614" i="9"/>
  <c r="K615" i="9"/>
  <c r="N32" i="12"/>
  <c r="N30" i="12" s="1"/>
  <c r="K435" i="6"/>
  <c r="N34" i="6"/>
  <c r="K562" i="6"/>
  <c r="K628" i="6"/>
  <c r="K199" i="7"/>
  <c r="P333" i="7"/>
  <c r="K340" i="7"/>
  <c r="K421" i="7"/>
  <c r="K449" i="7"/>
  <c r="L70" i="8"/>
  <c r="L68" i="8" s="1"/>
  <c r="O68" i="8" s="1"/>
  <c r="O351" i="8"/>
  <c r="K380" i="8"/>
  <c r="K401" i="8"/>
  <c r="K420" i="8"/>
  <c r="K426" i="8"/>
  <c r="K430" i="8"/>
  <c r="O568" i="8"/>
  <c r="K635" i="8"/>
  <c r="K164" i="9"/>
  <c r="K204" i="9"/>
  <c r="P333" i="9"/>
  <c r="K449" i="9"/>
  <c r="K563" i="9"/>
  <c r="K613" i="10"/>
  <c r="K612" i="10"/>
  <c r="K618" i="10"/>
  <c r="K634" i="10"/>
  <c r="P144" i="11"/>
  <c r="M292" i="11"/>
  <c r="P292" i="11" s="1"/>
  <c r="P294" i="11"/>
  <c r="N43" i="12"/>
  <c r="N41" i="12" s="1"/>
  <c r="O401" i="12"/>
  <c r="K473" i="12"/>
  <c r="M68" i="15"/>
  <c r="P68" i="15" s="1"/>
  <c r="P70" i="15"/>
  <c r="N120" i="7"/>
  <c r="N118" i="7" s="1"/>
  <c r="N142" i="7"/>
  <c r="N140" i="7" s="1"/>
  <c r="M96" i="8"/>
  <c r="P96" i="8" s="1"/>
  <c r="K189" i="8"/>
  <c r="O380" i="8"/>
  <c r="O401" i="8"/>
  <c r="O437" i="8"/>
  <c r="L70" i="9"/>
  <c r="O70" i="9" s="1"/>
  <c r="N120" i="9"/>
  <c r="N118" i="9" s="1"/>
  <c r="K623" i="10"/>
  <c r="K625" i="10"/>
  <c r="K621" i="10"/>
  <c r="K624" i="10"/>
  <c r="N55" i="11"/>
  <c r="N53" i="11" s="1"/>
  <c r="K219" i="12"/>
  <c r="N33" i="12"/>
  <c r="N13" i="12" s="1"/>
  <c r="O383" i="6"/>
  <c r="K401" i="6"/>
  <c r="K432" i="6"/>
  <c r="O455" i="6"/>
  <c r="K633" i="6"/>
  <c r="L34" i="7"/>
  <c r="P57" i="7"/>
  <c r="K158" i="7"/>
  <c r="K185" i="7"/>
  <c r="N252" i="7"/>
  <c r="N250" i="7" s="1"/>
  <c r="M312" i="7"/>
  <c r="M310" i="7" s="1"/>
  <c r="P310" i="7" s="1"/>
  <c r="K381" i="7"/>
  <c r="O404" i="7"/>
  <c r="K429" i="7"/>
  <c r="K533" i="7"/>
  <c r="L57" i="8"/>
  <c r="K138" i="8"/>
  <c r="N26" i="8"/>
  <c r="O347" i="8"/>
  <c r="K370" i="8"/>
  <c r="K381" i="8"/>
  <c r="O601" i="8"/>
  <c r="K629" i="8"/>
  <c r="M26" i="9"/>
  <c r="M16" i="9" s="1"/>
  <c r="M292" i="9"/>
  <c r="M290" i="9" s="1"/>
  <c r="P290" i="9" s="1"/>
  <c r="K416" i="9"/>
  <c r="L70" i="10"/>
  <c r="L68" i="10" s="1"/>
  <c r="P314" i="10"/>
  <c r="M312" i="10"/>
  <c r="P312" i="10" s="1"/>
  <c r="P333" i="10"/>
  <c r="O401" i="10"/>
  <c r="K417" i="10"/>
  <c r="K616" i="10"/>
  <c r="K235" i="11"/>
  <c r="O566" i="11"/>
  <c r="K199" i="12"/>
  <c r="K328" i="12"/>
  <c r="K424" i="12"/>
  <c r="K431" i="12"/>
  <c r="K416" i="6"/>
  <c r="K429" i="6"/>
  <c r="O439" i="6"/>
  <c r="O533" i="6"/>
  <c r="K564" i="6"/>
  <c r="N96" i="7"/>
  <c r="N94" i="7" s="1"/>
  <c r="L294" i="7"/>
  <c r="O294" i="7" s="1"/>
  <c r="K498" i="7"/>
  <c r="K618" i="7"/>
  <c r="K634" i="7"/>
  <c r="N222" i="8"/>
  <c r="N220" i="8" s="1"/>
  <c r="N292" i="8"/>
  <c r="N290" i="8" s="1"/>
  <c r="P337" i="8"/>
  <c r="K422" i="8"/>
  <c r="K425" i="8"/>
  <c r="K630" i="8"/>
  <c r="M43" i="9"/>
  <c r="M41" i="9" s="1"/>
  <c r="N96" i="9"/>
  <c r="N94" i="9" s="1"/>
  <c r="P144" i="9"/>
  <c r="K424" i="9"/>
  <c r="L224" i="10"/>
  <c r="O224" i="10" s="1"/>
  <c r="N31" i="10"/>
  <c r="N29" i="10" s="1"/>
  <c r="O568" i="10"/>
  <c r="K620" i="10"/>
  <c r="P98" i="11"/>
  <c r="M96" i="11"/>
  <c r="P96" i="11" s="1"/>
  <c r="N33" i="11"/>
  <c r="N13" i="11" s="1"/>
  <c r="L57" i="12"/>
  <c r="O57" i="12" s="1"/>
  <c r="L23" i="12"/>
  <c r="O23" i="12" s="1"/>
  <c r="O537" i="6"/>
  <c r="O599" i="6"/>
  <c r="K634" i="6"/>
  <c r="K328" i="7"/>
  <c r="K430" i="7"/>
  <c r="O439" i="8"/>
  <c r="O533" i="8"/>
  <c r="K573" i="8"/>
  <c r="N31" i="8"/>
  <c r="K616" i="8"/>
  <c r="K173" i="9"/>
  <c r="O404" i="9"/>
  <c r="K618" i="9"/>
  <c r="K204" i="10"/>
  <c r="O459" i="10"/>
  <c r="L34" i="10"/>
  <c r="K371" i="11"/>
  <c r="I367" i="11"/>
  <c r="K367" i="11" s="1"/>
  <c r="O351" i="15"/>
  <c r="L31" i="15"/>
  <c r="O31" i="15" s="1"/>
  <c r="O347" i="9"/>
  <c r="N26" i="10"/>
  <c r="N16" i="10" s="1"/>
  <c r="K173" i="10"/>
  <c r="K219" i="10"/>
  <c r="K285" i="10"/>
  <c r="K380" i="10"/>
  <c r="K401" i="10"/>
  <c r="O404" i="10"/>
  <c r="K449" i="10"/>
  <c r="K562" i="10"/>
  <c r="O601" i="10"/>
  <c r="K533" i="11"/>
  <c r="K563" i="11"/>
  <c r="K110" i="12"/>
  <c r="P333" i="12"/>
  <c r="K370" i="12"/>
  <c r="O437" i="12"/>
  <c r="K591" i="12"/>
  <c r="O597" i="12"/>
  <c r="O601" i="12"/>
  <c r="P45" i="13"/>
  <c r="K613" i="14"/>
  <c r="K615" i="14"/>
  <c r="K611" i="14"/>
  <c r="K617" i="14"/>
  <c r="K616" i="14"/>
  <c r="K423" i="16"/>
  <c r="P45" i="16"/>
  <c r="M43" i="16"/>
  <c r="M41" i="16" s="1"/>
  <c r="M22" i="16"/>
  <c r="P292" i="16"/>
  <c r="M290" i="16"/>
  <c r="P290" i="16" s="1"/>
  <c r="M53" i="19"/>
  <c r="O566" i="9"/>
  <c r="K597" i="9"/>
  <c r="L122" i="10"/>
  <c r="O122" i="10" s="1"/>
  <c r="K158" i="10"/>
  <c r="K611" i="10"/>
  <c r="N96" i="11"/>
  <c r="N94" i="11" s="1"/>
  <c r="L144" i="11"/>
  <c r="O144" i="11" s="1"/>
  <c r="K173" i="11"/>
  <c r="K328" i="11"/>
  <c r="K435" i="11"/>
  <c r="K633" i="11"/>
  <c r="L98" i="12"/>
  <c r="O98" i="12" s="1"/>
  <c r="M120" i="12"/>
  <c r="P120" i="12" s="1"/>
  <c r="K173" i="12"/>
  <c r="K189" i="12"/>
  <c r="K398" i="12"/>
  <c r="O455" i="12"/>
  <c r="L254" i="13"/>
  <c r="O254" i="13" s="1"/>
  <c r="N312" i="13"/>
  <c r="N310" i="13" s="1"/>
  <c r="M331" i="13"/>
  <c r="M329" i="13" s="1"/>
  <c r="L34" i="14"/>
  <c r="L32" i="15"/>
  <c r="L30" i="15" s="1"/>
  <c r="M252" i="16"/>
  <c r="P252" i="16" s="1"/>
  <c r="P254" i="16"/>
  <c r="O458" i="16"/>
  <c r="L33" i="16"/>
  <c r="O33" i="16" s="1"/>
  <c r="O406" i="9"/>
  <c r="K428" i="9"/>
  <c r="N34" i="9"/>
  <c r="N14" i="9" s="1"/>
  <c r="K216" i="10"/>
  <c r="K235" i="10"/>
  <c r="L333" i="10"/>
  <c r="L331" i="10" s="1"/>
  <c r="K350" i="10"/>
  <c r="K425" i="10"/>
  <c r="K429" i="10"/>
  <c r="K547" i="10"/>
  <c r="L57" i="11"/>
  <c r="O57" i="11" s="1"/>
  <c r="N312" i="11"/>
  <c r="N310" i="11" s="1"/>
  <c r="M331" i="11"/>
  <c r="M329" i="11" s="1"/>
  <c r="O385" i="11"/>
  <c r="K499" i="11"/>
  <c r="K625" i="11"/>
  <c r="L31" i="12"/>
  <c r="O31" i="12" s="1"/>
  <c r="K164" i="12"/>
  <c r="L24" i="12"/>
  <c r="O24" i="12" s="1"/>
  <c r="K266" i="12"/>
  <c r="M312" i="12"/>
  <c r="P312" i="12" s="1"/>
  <c r="K341" i="12"/>
  <c r="K368" i="12"/>
  <c r="K375" i="12"/>
  <c r="O566" i="12"/>
  <c r="K631" i="12"/>
  <c r="K65" i="13"/>
  <c r="N68" i="13"/>
  <c r="N66" i="13" s="1"/>
  <c r="K200" i="13"/>
  <c r="O406" i="13"/>
  <c r="K435" i="15"/>
  <c r="O401" i="16"/>
  <c r="N96" i="10"/>
  <c r="N94" i="10" s="1"/>
  <c r="N273" i="10"/>
  <c r="N271" i="10" s="1"/>
  <c r="O406" i="10"/>
  <c r="L98" i="11"/>
  <c r="O98" i="11" s="1"/>
  <c r="N222" i="11"/>
  <c r="N220" i="11" s="1"/>
  <c r="P314" i="11"/>
  <c r="N32" i="11"/>
  <c r="N30" i="11" s="1"/>
  <c r="N292" i="12"/>
  <c r="N290" i="12" s="1"/>
  <c r="N34" i="12"/>
  <c r="N14" i="12" s="1"/>
  <c r="O459" i="12"/>
  <c r="O537" i="12"/>
  <c r="K628" i="9"/>
  <c r="L275" i="10"/>
  <c r="O275" i="10" s="1"/>
  <c r="K430" i="10"/>
  <c r="N32" i="10"/>
  <c r="N30" i="10" s="1"/>
  <c r="K619" i="10"/>
  <c r="K164" i="11"/>
  <c r="L224" i="11"/>
  <c r="L222" i="11" s="1"/>
  <c r="L314" i="11"/>
  <c r="O314" i="11" s="1"/>
  <c r="K343" i="11"/>
  <c r="O406" i="11"/>
  <c r="O455" i="11"/>
  <c r="K474" i="11"/>
  <c r="K620" i="11"/>
  <c r="K623" i="11"/>
  <c r="L26" i="12"/>
  <c r="L16" i="12" s="1"/>
  <c r="K113" i="12"/>
  <c r="K235" i="12"/>
  <c r="N252" i="12"/>
  <c r="N250" i="12" s="1"/>
  <c r="K267" i="12"/>
  <c r="K449" i="12"/>
  <c r="K499" i="12"/>
  <c r="O564" i="12"/>
  <c r="K629" i="12"/>
  <c r="L57" i="13"/>
  <c r="O57" i="13" s="1"/>
  <c r="L70" i="13"/>
  <c r="O70" i="13" s="1"/>
  <c r="K80" i="13"/>
  <c r="K87" i="13"/>
  <c r="M96" i="13"/>
  <c r="P96" i="13" s="1"/>
  <c r="P224" i="13"/>
  <c r="L333" i="13"/>
  <c r="O333" i="13" s="1"/>
  <c r="O354" i="15"/>
  <c r="L24" i="15"/>
  <c r="O24" i="15" s="1"/>
  <c r="N26" i="16"/>
  <c r="N16" i="16" s="1"/>
  <c r="K401" i="16"/>
  <c r="K419" i="16"/>
  <c r="K619" i="16"/>
  <c r="K401" i="13"/>
  <c r="K416" i="13"/>
  <c r="K464" i="13"/>
  <c r="K474" i="13"/>
  <c r="K629" i="13"/>
  <c r="P57" i="14"/>
  <c r="N68" i="14"/>
  <c r="N66" i="14" s="1"/>
  <c r="L122" i="14"/>
  <c r="O122" i="14" s="1"/>
  <c r="L275" i="14"/>
  <c r="K341" i="14"/>
  <c r="K431" i="14"/>
  <c r="K623" i="14"/>
  <c r="K634" i="14"/>
  <c r="L144" i="15"/>
  <c r="O144" i="15" s="1"/>
  <c r="K213" i="15"/>
  <c r="L254" i="15"/>
  <c r="L252" i="15" s="1"/>
  <c r="K340" i="15"/>
  <c r="O347" i="15"/>
  <c r="K417" i="15"/>
  <c r="K427" i="15"/>
  <c r="K547" i="15"/>
  <c r="K563" i="15"/>
  <c r="K611" i="15"/>
  <c r="K630" i="15"/>
  <c r="N22" i="16"/>
  <c r="N43" i="16"/>
  <c r="N41" i="16" s="1"/>
  <c r="L57" i="16"/>
  <c r="O57" i="16" s="1"/>
  <c r="P98" i="16"/>
  <c r="K110" i="16"/>
  <c r="P144" i="16"/>
  <c r="O439" i="16"/>
  <c r="M55" i="17"/>
  <c r="M53" i="17" s="1"/>
  <c r="P57" i="17"/>
  <c r="K593" i="18"/>
  <c r="N31" i="13"/>
  <c r="N11" i="13" s="1"/>
  <c r="N9" i="13" s="1"/>
  <c r="K625" i="13"/>
  <c r="P224" i="14"/>
  <c r="P294" i="14"/>
  <c r="O406" i="14"/>
  <c r="K635" i="14"/>
  <c r="K215" i="15"/>
  <c r="M22" i="15"/>
  <c r="M12" i="15" s="1"/>
  <c r="P275" i="15"/>
  <c r="M312" i="15"/>
  <c r="P312" i="15" s="1"/>
  <c r="K421" i="15"/>
  <c r="O457" i="15"/>
  <c r="K533" i="15"/>
  <c r="P70" i="16"/>
  <c r="L32" i="18"/>
  <c r="L30" i="18" s="1"/>
  <c r="P57" i="19"/>
  <c r="N55" i="19"/>
  <c r="N53" i="19" s="1"/>
  <c r="P333" i="19"/>
  <c r="M22" i="19"/>
  <c r="M12" i="19" s="1"/>
  <c r="N31" i="19"/>
  <c r="K427" i="13"/>
  <c r="K435" i="13"/>
  <c r="N222" i="14"/>
  <c r="N220" i="14" s="1"/>
  <c r="N252" i="14"/>
  <c r="N250" i="14" s="1"/>
  <c r="K624" i="14"/>
  <c r="N222" i="15"/>
  <c r="N220" i="15" s="1"/>
  <c r="O337" i="15"/>
  <c r="K619" i="15"/>
  <c r="N312" i="16"/>
  <c r="N310" i="16" s="1"/>
  <c r="I367" i="16"/>
  <c r="K367" i="16" s="1"/>
  <c r="K417" i="16"/>
  <c r="K402" i="13"/>
  <c r="K424" i="13"/>
  <c r="K466" i="13"/>
  <c r="O537" i="13"/>
  <c r="N55" i="14"/>
  <c r="P55" i="14" s="1"/>
  <c r="K189" i="14"/>
  <c r="K219" i="14"/>
  <c r="L224" i="14"/>
  <c r="O224" i="14" s="1"/>
  <c r="K396" i="14"/>
  <c r="K416" i="14"/>
  <c r="K564" i="14"/>
  <c r="K158" i="15"/>
  <c r="L224" i="15"/>
  <c r="L222" i="15" s="1"/>
  <c r="L220" i="15" s="1"/>
  <c r="K265" i="15"/>
  <c r="K285" i="15"/>
  <c r="N292" i="15"/>
  <c r="N290" i="15" s="1"/>
  <c r="M337" i="15"/>
  <c r="M26" i="15" s="1"/>
  <c r="M16" i="15" s="1"/>
  <c r="K345" i="15"/>
  <c r="K401" i="15"/>
  <c r="K422" i="15"/>
  <c r="K432" i="15"/>
  <c r="K464" i="15"/>
  <c r="K474" i="15"/>
  <c r="O597" i="15"/>
  <c r="O601" i="15"/>
  <c r="K616" i="15"/>
  <c r="K189" i="16"/>
  <c r="K200" i="16"/>
  <c r="L254" i="16"/>
  <c r="L252" i="16" s="1"/>
  <c r="O252" i="16" s="1"/>
  <c r="P333" i="16"/>
  <c r="K428" i="16"/>
  <c r="P98" i="17"/>
  <c r="M96" i="17"/>
  <c r="P96" i="17" s="1"/>
  <c r="K614" i="18"/>
  <c r="K617" i="18"/>
  <c r="K611" i="18"/>
  <c r="K626" i="13"/>
  <c r="N142" i="14"/>
  <c r="N140" i="14" s="1"/>
  <c r="O380" i="14"/>
  <c r="K397" i="14"/>
  <c r="O404" i="14"/>
  <c r="K417" i="14"/>
  <c r="K430" i="14"/>
  <c r="K449" i="14"/>
  <c r="K464" i="14"/>
  <c r="K612" i="14"/>
  <c r="N120" i="15"/>
  <c r="N118" i="15" s="1"/>
  <c r="K249" i="15"/>
  <c r="K397" i="15"/>
  <c r="K429" i="15"/>
  <c r="O455" i="15"/>
  <c r="K498" i="15"/>
  <c r="O564" i="15"/>
  <c r="K573" i="15"/>
  <c r="L24" i="16"/>
  <c r="O24" i="16" s="1"/>
  <c r="K93" i="16"/>
  <c r="K112" i="16"/>
  <c r="N222" i="16"/>
  <c r="N220" i="16" s="1"/>
  <c r="L314" i="16"/>
  <c r="O383" i="16"/>
  <c r="N252" i="17"/>
  <c r="N250" i="17" s="1"/>
  <c r="P250" i="17" s="1"/>
  <c r="N22" i="17"/>
  <c r="O566" i="17"/>
  <c r="K628" i="13"/>
  <c r="K158" i="14"/>
  <c r="L333" i="14"/>
  <c r="L331" i="14" s="1"/>
  <c r="K340" i="14"/>
  <c r="N32" i="14"/>
  <c r="N30" i="14" s="1"/>
  <c r="O564" i="14"/>
  <c r="K619" i="14"/>
  <c r="K630" i="14"/>
  <c r="L98" i="15"/>
  <c r="L122" i="15"/>
  <c r="L120" i="15" s="1"/>
  <c r="O120" i="15" s="1"/>
  <c r="K416" i="15"/>
  <c r="O537" i="15"/>
  <c r="O580" i="15"/>
  <c r="K614" i="15"/>
  <c r="K617" i="15"/>
  <c r="K629" i="15"/>
  <c r="K109" i="16"/>
  <c r="P275" i="16"/>
  <c r="N34" i="19"/>
  <c r="N14" i="19" s="1"/>
  <c r="P254" i="17"/>
  <c r="P275" i="17"/>
  <c r="K350" i="17"/>
  <c r="O404" i="17"/>
  <c r="K619" i="17"/>
  <c r="K614" i="17"/>
  <c r="K617" i="17"/>
  <c r="P57" i="18"/>
  <c r="K65" i="18"/>
  <c r="L144" i="18"/>
  <c r="O144" i="18" s="1"/>
  <c r="K219" i="18"/>
  <c r="K340" i="18"/>
  <c r="O404" i="18"/>
  <c r="K423" i="18"/>
  <c r="K474" i="18"/>
  <c r="O584" i="18"/>
  <c r="N26" i="19"/>
  <c r="N16" i="19" s="1"/>
  <c r="K370" i="19"/>
  <c r="K398" i="19"/>
  <c r="K430" i="19"/>
  <c r="K465" i="19"/>
  <c r="K481" i="19"/>
  <c r="O582" i="19"/>
  <c r="P45" i="20"/>
  <c r="M43" i="20"/>
  <c r="M41" i="20" s="1"/>
  <c r="K613" i="16"/>
  <c r="L275" i="17"/>
  <c r="L273" i="17" s="1"/>
  <c r="K368" i="17"/>
  <c r="K455" i="17"/>
  <c r="N96" i="18"/>
  <c r="N94" i="18" s="1"/>
  <c r="L24" i="19"/>
  <c r="K111" i="19"/>
  <c r="K235" i="19"/>
  <c r="K249" i="19"/>
  <c r="L314" i="19"/>
  <c r="O314" i="19" s="1"/>
  <c r="O354" i="19"/>
  <c r="O458" i="21"/>
  <c r="L33" i="21"/>
  <c r="O33" i="21" s="1"/>
  <c r="O337" i="22"/>
  <c r="M337" i="22"/>
  <c r="M331" i="22" s="1"/>
  <c r="O552" i="22"/>
  <c r="L31" i="22"/>
  <c r="L11" i="22" s="1"/>
  <c r="K499" i="16"/>
  <c r="K614" i="16"/>
  <c r="K617" i="16"/>
  <c r="K65" i="17"/>
  <c r="K83" i="17"/>
  <c r="K133" i="17"/>
  <c r="P144" i="17"/>
  <c r="N222" i="17"/>
  <c r="N220" i="17" s="1"/>
  <c r="K285" i="17"/>
  <c r="K424" i="17"/>
  <c r="K431" i="17"/>
  <c r="O337" i="18"/>
  <c r="K381" i="18"/>
  <c r="K435" i="18"/>
  <c r="K547" i="18"/>
  <c r="P70" i="19"/>
  <c r="K112" i="19"/>
  <c r="P275" i="19"/>
  <c r="K450" i="19"/>
  <c r="K533" i="19"/>
  <c r="O535" i="19"/>
  <c r="O580" i="19"/>
  <c r="O351" i="20"/>
  <c r="L31" i="20"/>
  <c r="L11" i="20" s="1"/>
  <c r="O11" i="20" s="1"/>
  <c r="N32" i="16"/>
  <c r="K611" i="16"/>
  <c r="L144" i="17"/>
  <c r="O144" i="17" s="1"/>
  <c r="N331" i="17"/>
  <c r="N329" i="17" s="1"/>
  <c r="K345" i="17"/>
  <c r="K380" i="17"/>
  <c r="O455" i="17"/>
  <c r="K464" i="17"/>
  <c r="K533" i="17"/>
  <c r="K547" i="17"/>
  <c r="K618" i="17"/>
  <c r="K634" i="17"/>
  <c r="O74" i="18"/>
  <c r="K164" i="18"/>
  <c r="K185" i="18"/>
  <c r="N222" i="18"/>
  <c r="N220" i="18" s="1"/>
  <c r="P294" i="18"/>
  <c r="K533" i="18"/>
  <c r="O597" i="18"/>
  <c r="O102" i="19"/>
  <c r="K200" i="19"/>
  <c r="K229" i="19"/>
  <c r="L254" i="19"/>
  <c r="L252" i="19" s="1"/>
  <c r="L250" i="19" s="1"/>
  <c r="N292" i="19"/>
  <c r="N290" i="19" s="1"/>
  <c r="K396" i="19"/>
  <c r="O435" i="19"/>
  <c r="L70" i="17"/>
  <c r="L68" i="17" s="1"/>
  <c r="K628" i="17"/>
  <c r="L275" i="18"/>
  <c r="O275" i="18" s="1"/>
  <c r="N331" i="18"/>
  <c r="N329" i="18" s="1"/>
  <c r="N31" i="18"/>
  <c r="N29" i="18" s="1"/>
  <c r="O385" i="18"/>
  <c r="K431" i="18"/>
  <c r="K113" i="19"/>
  <c r="P294" i="19"/>
  <c r="K563" i="19"/>
  <c r="O564" i="16"/>
  <c r="K573" i="16"/>
  <c r="K618" i="16"/>
  <c r="K84" i="17"/>
  <c r="K117" i="17"/>
  <c r="K249" i="17"/>
  <c r="N34" i="17"/>
  <c r="N14" i="17" s="1"/>
  <c r="K498" i="18"/>
  <c r="O533" i="18"/>
  <c r="O566" i="18"/>
  <c r="M43" i="19"/>
  <c r="P98" i="19"/>
  <c r="N331" i="19"/>
  <c r="N329" i="19" s="1"/>
  <c r="K345" i="19"/>
  <c r="O380" i="19"/>
  <c r="K422" i="19"/>
  <c r="O455" i="19"/>
  <c r="N68" i="20"/>
  <c r="N66" i="20" s="1"/>
  <c r="N22" i="20"/>
  <c r="O568" i="16"/>
  <c r="K173" i="17"/>
  <c r="N32" i="17"/>
  <c r="N30" i="17" s="1"/>
  <c r="K401" i="17"/>
  <c r="K416" i="17"/>
  <c r="K426" i="17"/>
  <c r="K429" i="17"/>
  <c r="K64" i="18"/>
  <c r="K138" i="18"/>
  <c r="K401" i="18"/>
  <c r="K464" i="18"/>
  <c r="K589" i="18"/>
  <c r="K630" i="18"/>
  <c r="K93" i="19"/>
  <c r="K132" i="19"/>
  <c r="N22" i="19"/>
  <c r="K270" i="19"/>
  <c r="O349" i="19"/>
  <c r="K381" i="19"/>
  <c r="O459" i="19"/>
  <c r="O537" i="19"/>
  <c r="O566" i="19"/>
  <c r="K622" i="19"/>
  <c r="K621" i="19"/>
  <c r="K623" i="19"/>
  <c r="K625" i="19"/>
  <c r="P57" i="20"/>
  <c r="K200" i="20"/>
  <c r="K229" i="21"/>
  <c r="K266" i="21"/>
  <c r="L275" i="21"/>
  <c r="O275" i="21" s="1"/>
  <c r="L314" i="21"/>
  <c r="O314" i="21" s="1"/>
  <c r="K343" i="21"/>
  <c r="O435" i="21"/>
  <c r="K580" i="21"/>
  <c r="K591" i="21"/>
  <c r="L294" i="22"/>
  <c r="L292" i="22" s="1"/>
  <c r="L290" i="22" s="1"/>
  <c r="O290" i="22" s="1"/>
  <c r="K533" i="22"/>
  <c r="K620" i="22"/>
  <c r="K632" i="22"/>
  <c r="K619" i="19"/>
  <c r="M120" i="20"/>
  <c r="P120" i="20" s="1"/>
  <c r="P224" i="20"/>
  <c r="M337" i="20"/>
  <c r="M331" i="20" s="1"/>
  <c r="O601" i="20"/>
  <c r="K634" i="20"/>
  <c r="P254" i="21"/>
  <c r="K285" i="21"/>
  <c r="K340" i="21"/>
  <c r="K350" i="21"/>
  <c r="O404" i="21"/>
  <c r="K416" i="21"/>
  <c r="K429" i="21"/>
  <c r="K432" i="21"/>
  <c r="O537" i="21"/>
  <c r="K573" i="21"/>
  <c r="O597" i="21"/>
  <c r="K623" i="21"/>
  <c r="M68" i="22"/>
  <c r="P68" i="22" s="1"/>
  <c r="P144" i="22"/>
  <c r="K149" i="22"/>
  <c r="N222" i="22"/>
  <c r="N220" i="22" s="1"/>
  <c r="M292" i="22"/>
  <c r="P292" i="22" s="1"/>
  <c r="K350" i="22"/>
  <c r="O404" i="22"/>
  <c r="K633" i="22"/>
  <c r="O597" i="19"/>
  <c r="N43" i="20"/>
  <c r="N41" i="20" s="1"/>
  <c r="L70" i="20"/>
  <c r="O70" i="20" s="1"/>
  <c r="P254" i="20"/>
  <c r="N34" i="20"/>
  <c r="N14" i="20" s="1"/>
  <c r="K573" i="20"/>
  <c r="K613" i="20"/>
  <c r="K635" i="20"/>
  <c r="L70" i="21"/>
  <c r="O70" i="21" s="1"/>
  <c r="P57" i="22"/>
  <c r="N273" i="22"/>
  <c r="N271" i="22" s="1"/>
  <c r="O566" i="22"/>
  <c r="K497" i="21"/>
  <c r="N34" i="21"/>
  <c r="N14" i="21" s="1"/>
  <c r="M22" i="22"/>
  <c r="M12" i="22" s="1"/>
  <c r="N68" i="22"/>
  <c r="N66" i="22" s="1"/>
  <c r="L275" i="22"/>
  <c r="K349" i="22"/>
  <c r="O354" i="22"/>
  <c r="K435" i="22"/>
  <c r="K449" i="22"/>
  <c r="K630" i="22"/>
  <c r="K635" i="19"/>
  <c r="N331" i="20"/>
  <c r="N329" i="20" s="1"/>
  <c r="K611" i="20"/>
  <c r="K614" i="20"/>
  <c r="K620" i="20"/>
  <c r="K349" i="21"/>
  <c r="K626" i="22"/>
  <c r="O599" i="19"/>
  <c r="K629" i="19"/>
  <c r="L24" i="20"/>
  <c r="O24" i="20" s="1"/>
  <c r="K597" i="20"/>
  <c r="K87" i="21"/>
  <c r="K235" i="21"/>
  <c r="K270" i="21"/>
  <c r="N32" i="21"/>
  <c r="N30" i="21" s="1"/>
  <c r="O383" i="21"/>
  <c r="K396" i="21"/>
  <c r="K498" i="21"/>
  <c r="K633" i="21"/>
  <c r="L70" i="22"/>
  <c r="L68" i="22" s="1"/>
  <c r="O68" i="22" s="1"/>
  <c r="M94" i="22"/>
  <c r="P94" i="22" s="1"/>
  <c r="L224" i="22"/>
  <c r="O224" i="22" s="1"/>
  <c r="K402" i="22"/>
  <c r="K428" i="22"/>
  <c r="K547" i="22"/>
  <c r="K573" i="22"/>
  <c r="K628" i="22"/>
  <c r="K618" i="20"/>
  <c r="L24" i="21"/>
  <c r="O24" i="21" s="1"/>
  <c r="N96" i="21"/>
  <c r="N94" i="21" s="1"/>
  <c r="N312" i="21"/>
  <c r="N310" i="21" s="1"/>
  <c r="N142" i="22"/>
  <c r="N140" i="22" s="1"/>
  <c r="N252" i="22"/>
  <c r="N250" i="22" s="1"/>
  <c r="P21" i="1"/>
  <c r="M11" i="1"/>
  <c r="M19" i="1"/>
  <c r="P30" i="1"/>
  <c r="M28" i="1"/>
  <c r="P28" i="1" s="1"/>
  <c r="O25" i="1"/>
  <c r="L15" i="1"/>
  <c r="O15" i="1" s="1"/>
  <c r="P19" i="2"/>
  <c r="N19" i="1"/>
  <c r="M14" i="1"/>
  <c r="P14" i="1" s="1"/>
  <c r="L23" i="2"/>
  <c r="P9" i="3"/>
  <c r="O49" i="3"/>
  <c r="L26" i="3"/>
  <c r="P74" i="3"/>
  <c r="M26" i="3"/>
  <c r="L31" i="3"/>
  <c r="O436" i="3"/>
  <c r="L26" i="4"/>
  <c r="O126" i="4"/>
  <c r="O21" i="1"/>
  <c r="M13" i="1"/>
  <c r="P13" i="1" s="1"/>
  <c r="L19" i="1"/>
  <c r="P32" i="1"/>
  <c r="N26" i="2"/>
  <c r="K396" i="2"/>
  <c r="K432" i="2"/>
  <c r="O455" i="2"/>
  <c r="P122" i="3"/>
  <c r="M120" i="3"/>
  <c r="K189" i="3"/>
  <c r="P275" i="3"/>
  <c r="M273" i="3"/>
  <c r="L33" i="3"/>
  <c r="O33" i="3" s="1"/>
  <c r="O353" i="3"/>
  <c r="P19" i="4"/>
  <c r="P25" i="4"/>
  <c r="M15" i="4"/>
  <c r="P15" i="4" s="1"/>
  <c r="P144" i="7"/>
  <c r="M142" i="7"/>
  <c r="M11" i="2"/>
  <c r="M29" i="2"/>
  <c r="O21" i="3"/>
  <c r="P32" i="3"/>
  <c r="M30" i="3"/>
  <c r="P57" i="3"/>
  <c r="M55" i="3"/>
  <c r="M22" i="3"/>
  <c r="P29" i="4"/>
  <c r="M28" i="4"/>
  <c r="P28" i="4" s="1"/>
  <c r="M43" i="4"/>
  <c r="P67" i="4"/>
  <c r="M43" i="2"/>
  <c r="L122" i="2"/>
  <c r="M250" i="2"/>
  <c r="P275" i="2"/>
  <c r="M273" i="2"/>
  <c r="K343" i="2"/>
  <c r="K416" i="2"/>
  <c r="K629" i="2"/>
  <c r="K65" i="3"/>
  <c r="L122" i="3"/>
  <c r="K185" i="3"/>
  <c r="P224" i="3"/>
  <c r="L275" i="3"/>
  <c r="K341" i="3"/>
  <c r="O49" i="4"/>
  <c r="N26" i="4"/>
  <c r="P57" i="4"/>
  <c r="M55" i="4"/>
  <c r="O439" i="4"/>
  <c r="L34" i="4"/>
  <c r="P333" i="2"/>
  <c r="N331" i="2"/>
  <c r="P70" i="3"/>
  <c r="M68" i="3"/>
  <c r="O221" i="3"/>
  <c r="O555" i="5"/>
  <c r="L34" i="5"/>
  <c r="L224" i="6"/>
  <c r="L23" i="6"/>
  <c r="L15" i="2"/>
  <c r="N22" i="2"/>
  <c r="M68" i="2"/>
  <c r="P23" i="3"/>
  <c r="M13" i="3"/>
  <c r="P13" i="3" s="1"/>
  <c r="N22" i="3"/>
  <c r="N43" i="3"/>
  <c r="P45" i="3"/>
  <c r="L24" i="3"/>
  <c r="P95" i="3"/>
  <c r="M140" i="3"/>
  <c r="P34" i="4"/>
  <c r="M14" i="4"/>
  <c r="P14" i="4" s="1"/>
  <c r="P70" i="4"/>
  <c r="M68" i="4"/>
  <c r="P68" i="4" s="1"/>
  <c r="P95" i="5"/>
  <c r="L70" i="2"/>
  <c r="M140" i="2"/>
  <c r="O221" i="2"/>
  <c r="K424" i="2"/>
  <c r="L70" i="3"/>
  <c r="N34" i="3"/>
  <c r="O385" i="3"/>
  <c r="K635" i="3"/>
  <c r="P45" i="4"/>
  <c r="L24" i="4"/>
  <c r="N22" i="4"/>
  <c r="P333" i="4"/>
  <c r="L224" i="7"/>
  <c r="L23" i="7"/>
  <c r="P102" i="2"/>
  <c r="K111" i="2"/>
  <c r="O119" i="2"/>
  <c r="O435" i="2"/>
  <c r="O19" i="3"/>
  <c r="K87" i="3"/>
  <c r="O352" i="3"/>
  <c r="L32" i="3"/>
  <c r="K422" i="3"/>
  <c r="L70" i="4"/>
  <c r="M222" i="2"/>
  <c r="K612" i="2"/>
  <c r="K620" i="2"/>
  <c r="M222" i="3"/>
  <c r="P102" i="4"/>
  <c r="K111" i="4"/>
  <c r="O221" i="4"/>
  <c r="K597" i="4"/>
  <c r="N31" i="5"/>
  <c r="P95" i="6"/>
  <c r="L98" i="6"/>
  <c r="O221" i="6"/>
  <c r="P314" i="9"/>
  <c r="M312" i="9"/>
  <c r="M329" i="2"/>
  <c r="K615" i="2"/>
  <c r="K623" i="2"/>
  <c r="L23" i="3"/>
  <c r="K613" i="3"/>
  <c r="K621" i="3"/>
  <c r="M11" i="4"/>
  <c r="P21" i="4"/>
  <c r="K132" i="4"/>
  <c r="M331" i="4"/>
  <c r="M329" i="4" s="1"/>
  <c r="P32" i="5"/>
  <c r="M30" i="5"/>
  <c r="P30" i="5" s="1"/>
  <c r="K427" i="5"/>
  <c r="K466" i="5"/>
  <c r="P21" i="6"/>
  <c r="M11" i="6"/>
  <c r="M19" i="6"/>
  <c r="L24" i="6"/>
  <c r="K613" i="2"/>
  <c r="K621" i="2"/>
  <c r="K619" i="3"/>
  <c r="M13" i="4"/>
  <c r="P13" i="4" s="1"/>
  <c r="P98" i="4"/>
  <c r="P141" i="4"/>
  <c r="M292" i="4"/>
  <c r="P23" i="5"/>
  <c r="M13" i="5"/>
  <c r="P13" i="5" s="1"/>
  <c r="L24" i="5"/>
  <c r="P294" i="5"/>
  <c r="M22" i="5"/>
  <c r="M292" i="5"/>
  <c r="P314" i="6"/>
  <c r="M312" i="6"/>
  <c r="P33" i="9"/>
  <c r="M13" i="9"/>
  <c r="P13" i="9" s="1"/>
  <c r="K616" i="2"/>
  <c r="K624" i="2"/>
  <c r="K614" i="3"/>
  <c r="K622" i="3"/>
  <c r="P275" i="4"/>
  <c r="M273" i="4"/>
  <c r="K630" i="4"/>
  <c r="N22" i="5"/>
  <c r="N43" i="5"/>
  <c r="N41" i="5" s="1"/>
  <c r="P54" i="5"/>
  <c r="O61" i="5"/>
  <c r="L26" i="5"/>
  <c r="K132" i="5"/>
  <c r="L33" i="5"/>
  <c r="O384" i="5"/>
  <c r="N33" i="5"/>
  <c r="N13" i="5" s="1"/>
  <c r="P54" i="6"/>
  <c r="M22" i="6"/>
  <c r="P122" i="6"/>
  <c r="M120" i="6"/>
  <c r="K611" i="2"/>
  <c r="I367" i="3"/>
  <c r="K367" i="3" s="1"/>
  <c r="M96" i="4"/>
  <c r="K229" i="4"/>
  <c r="N252" i="4"/>
  <c r="K402" i="4"/>
  <c r="O19" i="5"/>
  <c r="P141" i="5"/>
  <c r="K213" i="5"/>
  <c r="L254" i="5"/>
  <c r="K402" i="5"/>
  <c r="K482" i="5"/>
  <c r="O535" i="5"/>
  <c r="L32" i="5"/>
  <c r="P30" i="6"/>
  <c r="M28" i="6"/>
  <c r="P28" i="6" s="1"/>
  <c r="P19" i="8"/>
  <c r="P122" i="4"/>
  <c r="M120" i="4"/>
  <c r="P251" i="4"/>
  <c r="O354" i="4"/>
  <c r="P19" i="5"/>
  <c r="P251" i="5"/>
  <c r="M250" i="5"/>
  <c r="P250" i="5" s="1"/>
  <c r="K285" i="5"/>
  <c r="N312" i="5"/>
  <c r="P333" i="5"/>
  <c r="K381" i="5"/>
  <c r="N43" i="6"/>
  <c r="N41" i="6" s="1"/>
  <c r="K612" i="6"/>
  <c r="K617" i="6"/>
  <c r="K614" i="6"/>
  <c r="K619" i="6"/>
  <c r="K611" i="6"/>
  <c r="K616" i="6"/>
  <c r="K615" i="6"/>
  <c r="K618" i="6"/>
  <c r="K613" i="6"/>
  <c r="P23" i="7"/>
  <c r="M13" i="7"/>
  <c r="P13" i="7" s="1"/>
  <c r="K612" i="4"/>
  <c r="K620" i="4"/>
  <c r="P254" i="5"/>
  <c r="K614" i="5"/>
  <c r="K622" i="5"/>
  <c r="K499" i="6"/>
  <c r="P54" i="7"/>
  <c r="L26" i="7"/>
  <c r="O61" i="7"/>
  <c r="L98" i="7"/>
  <c r="O221" i="7"/>
  <c r="P254" i="7"/>
  <c r="M252" i="7"/>
  <c r="P25" i="8"/>
  <c r="M15" i="8"/>
  <c r="P15" i="8" s="1"/>
  <c r="L254" i="8"/>
  <c r="P272" i="8"/>
  <c r="M271" i="8"/>
  <c r="L275" i="8"/>
  <c r="K285" i="8"/>
  <c r="P54" i="9"/>
  <c r="M53" i="9"/>
  <c r="O42" i="10"/>
  <c r="N222" i="4"/>
  <c r="N220" i="4" s="1"/>
  <c r="M310" i="4"/>
  <c r="P310" i="4" s="1"/>
  <c r="K615" i="4"/>
  <c r="K623" i="4"/>
  <c r="M9" i="5"/>
  <c r="I367" i="5"/>
  <c r="K367" i="5" s="1"/>
  <c r="K617" i="5"/>
  <c r="K625" i="5"/>
  <c r="K420" i="6"/>
  <c r="O459" i="6"/>
  <c r="P95" i="7"/>
  <c r="M94" i="7"/>
  <c r="P94" i="7" s="1"/>
  <c r="P221" i="7"/>
  <c r="M220" i="7"/>
  <c r="L33" i="7"/>
  <c r="O33" i="7" s="1"/>
  <c r="O353" i="7"/>
  <c r="O383" i="7"/>
  <c r="L32" i="7"/>
  <c r="K418" i="7"/>
  <c r="O437" i="7"/>
  <c r="O534" i="7"/>
  <c r="L31" i="7"/>
  <c r="N15" i="8"/>
  <c r="N19" i="8"/>
  <c r="K419" i="8"/>
  <c r="O555" i="8"/>
  <c r="L34" i="8"/>
  <c r="O567" i="8"/>
  <c r="L33" i="8"/>
  <c r="O33" i="8" s="1"/>
  <c r="K613" i="4"/>
  <c r="K621" i="4"/>
  <c r="M331" i="5"/>
  <c r="K615" i="5"/>
  <c r="K623" i="5"/>
  <c r="N26" i="7"/>
  <c r="N16" i="7" s="1"/>
  <c r="M30" i="7"/>
  <c r="P30" i="7" s="1"/>
  <c r="P32" i="7"/>
  <c r="P275" i="7"/>
  <c r="M273" i="7"/>
  <c r="K497" i="7"/>
  <c r="P31" i="8"/>
  <c r="M29" i="8"/>
  <c r="M11" i="8"/>
  <c r="M53" i="8"/>
  <c r="L24" i="8"/>
  <c r="O148" i="9"/>
  <c r="L26" i="9"/>
  <c r="O353" i="10"/>
  <c r="L33" i="10"/>
  <c r="O33" i="10" s="1"/>
  <c r="K616" i="4"/>
  <c r="K624" i="4"/>
  <c r="M102" i="5"/>
  <c r="K618" i="5"/>
  <c r="K626" i="5"/>
  <c r="M14" i="6"/>
  <c r="P14" i="6" s="1"/>
  <c r="O21" i="6"/>
  <c r="P275" i="6"/>
  <c r="M273" i="6"/>
  <c r="P122" i="7"/>
  <c r="M120" i="7"/>
  <c r="M14" i="8"/>
  <c r="P14" i="8" s="1"/>
  <c r="P34" i="8"/>
  <c r="P333" i="8"/>
  <c r="M331" i="8"/>
  <c r="P122" i="9"/>
  <c r="M120" i="9"/>
  <c r="M22" i="9"/>
  <c r="N292" i="9"/>
  <c r="N22" i="9"/>
  <c r="M142" i="4"/>
  <c r="M252" i="4"/>
  <c r="M250" i="4" s="1"/>
  <c r="K371" i="4"/>
  <c r="K619" i="4"/>
  <c r="M312" i="5"/>
  <c r="K613" i="5"/>
  <c r="K621" i="5"/>
  <c r="M142" i="6"/>
  <c r="N273" i="6"/>
  <c r="K428" i="6"/>
  <c r="O568" i="6"/>
  <c r="M22" i="7"/>
  <c r="K173" i="7"/>
  <c r="K345" i="7"/>
  <c r="O401" i="7"/>
  <c r="K426" i="7"/>
  <c r="O457" i="7"/>
  <c r="M220" i="4"/>
  <c r="K614" i="4"/>
  <c r="K622" i="4"/>
  <c r="M28" i="5"/>
  <c r="P28" i="5" s="1"/>
  <c r="M68" i="5"/>
  <c r="P68" i="5" s="1"/>
  <c r="K616" i="5"/>
  <c r="M43" i="6"/>
  <c r="M68" i="6"/>
  <c r="O330" i="6"/>
  <c r="K368" i="6"/>
  <c r="P29" i="7"/>
  <c r="M28" i="7"/>
  <c r="P28" i="7" s="1"/>
  <c r="N22" i="7"/>
  <c r="N43" i="7"/>
  <c r="N41" i="7" s="1"/>
  <c r="K219" i="7"/>
  <c r="K369" i="7"/>
  <c r="I367" i="7"/>
  <c r="K367" i="7" s="1"/>
  <c r="N34" i="7"/>
  <c r="N14" i="7" s="1"/>
  <c r="K398" i="7"/>
  <c r="O566" i="7"/>
  <c r="K631" i="7"/>
  <c r="O19" i="8"/>
  <c r="O318" i="8"/>
  <c r="L26" i="8"/>
  <c r="P21" i="9"/>
  <c r="M11" i="9"/>
  <c r="M19" i="9"/>
  <c r="M55" i="5"/>
  <c r="M55" i="6"/>
  <c r="P11" i="7"/>
  <c r="O25" i="7"/>
  <c r="L15" i="7"/>
  <c r="O15" i="7" s="1"/>
  <c r="L19" i="7"/>
  <c r="L24" i="7"/>
  <c r="O330" i="7"/>
  <c r="L23" i="8"/>
  <c r="L45" i="8"/>
  <c r="O119" i="8"/>
  <c r="P294" i="8"/>
  <c r="M292" i="8"/>
  <c r="O54" i="9"/>
  <c r="O95" i="9"/>
  <c r="N32" i="9"/>
  <c r="N30" i="9" s="1"/>
  <c r="K613" i="7"/>
  <c r="K213" i="8"/>
  <c r="O21" i="9"/>
  <c r="L19" i="9"/>
  <c r="P24" i="9"/>
  <c r="M14" i="9"/>
  <c r="P14" i="9" s="1"/>
  <c r="O352" i="9"/>
  <c r="L32" i="9"/>
  <c r="K547" i="9"/>
  <c r="M142" i="10"/>
  <c r="P144" i="10"/>
  <c r="M22" i="10"/>
  <c r="M29" i="11"/>
  <c r="P31" i="11"/>
  <c r="P19" i="12"/>
  <c r="O380" i="10"/>
  <c r="K624" i="6"/>
  <c r="M16" i="7"/>
  <c r="M43" i="7"/>
  <c r="P45" i="7"/>
  <c r="K614" i="7"/>
  <c r="K622" i="7"/>
  <c r="L15" i="8"/>
  <c r="O15" i="8" s="1"/>
  <c r="N22" i="8"/>
  <c r="P119" i="8"/>
  <c r="M118" i="8"/>
  <c r="P118" i="8" s="1"/>
  <c r="L57" i="9"/>
  <c r="P95" i="9"/>
  <c r="N252" i="9"/>
  <c r="N250" i="9" s="1"/>
  <c r="K199" i="10"/>
  <c r="M41" i="11"/>
  <c r="P272" i="11"/>
  <c r="L34" i="11"/>
  <c r="O354" i="11"/>
  <c r="K617" i="7"/>
  <c r="L122" i="8"/>
  <c r="O141" i="8"/>
  <c r="K427" i="8"/>
  <c r="L24" i="9"/>
  <c r="L98" i="9"/>
  <c r="L23" i="9"/>
  <c r="O221" i="9"/>
  <c r="P275" i="9"/>
  <c r="M273" i="9"/>
  <c r="N19" i="11"/>
  <c r="N15" i="11"/>
  <c r="P11" i="12"/>
  <c r="O404" i="12"/>
  <c r="L32" i="12"/>
  <c r="K622" i="6"/>
  <c r="K612" i="7"/>
  <c r="P141" i="8"/>
  <c r="P29" i="9"/>
  <c r="M28" i="9"/>
  <c r="P28" i="9" s="1"/>
  <c r="P42" i="9"/>
  <c r="N273" i="9"/>
  <c r="N271" i="9" s="1"/>
  <c r="L34" i="9"/>
  <c r="O439" i="9"/>
  <c r="O19" i="10"/>
  <c r="O272" i="10"/>
  <c r="L26" i="11"/>
  <c r="I367" i="6"/>
  <c r="K367" i="6" s="1"/>
  <c r="K625" i="6"/>
  <c r="M15" i="7"/>
  <c r="P15" i="7" s="1"/>
  <c r="M55" i="7"/>
  <c r="M329" i="7"/>
  <c r="K615" i="7"/>
  <c r="O251" i="8"/>
  <c r="N312" i="8"/>
  <c r="N310" i="8" s="1"/>
  <c r="O354" i="8"/>
  <c r="K402" i="8"/>
  <c r="P67" i="9"/>
  <c r="L31" i="9"/>
  <c r="O382" i="9"/>
  <c r="N31" i="9"/>
  <c r="K573" i="9"/>
  <c r="N43" i="10"/>
  <c r="N41" i="10" s="1"/>
  <c r="N22" i="10"/>
  <c r="M14" i="11"/>
  <c r="P14" i="11" s="1"/>
  <c r="P34" i="11"/>
  <c r="L24" i="11"/>
  <c r="L23" i="13"/>
  <c r="L45" i="13"/>
  <c r="P119" i="13"/>
  <c r="M118" i="13"/>
  <c r="P118" i="13" s="1"/>
  <c r="M252" i="13"/>
  <c r="P254" i="13"/>
  <c r="M22" i="13"/>
  <c r="L144" i="8"/>
  <c r="P251" i="8"/>
  <c r="M250" i="8"/>
  <c r="P250" i="8" s="1"/>
  <c r="K533" i="8"/>
  <c r="N26" i="9"/>
  <c r="N16" i="9" s="1"/>
  <c r="N43" i="9"/>
  <c r="P21" i="11"/>
  <c r="M11" i="11"/>
  <c r="M19" i="11"/>
  <c r="K619" i="8"/>
  <c r="I367" i="9"/>
  <c r="K367" i="9" s="1"/>
  <c r="K617" i="9"/>
  <c r="K625" i="9"/>
  <c r="M29" i="10"/>
  <c r="O119" i="10"/>
  <c r="P254" i="10"/>
  <c r="K369" i="10"/>
  <c r="I367" i="10"/>
  <c r="K367" i="10" s="1"/>
  <c r="K419" i="10"/>
  <c r="K533" i="10"/>
  <c r="K631" i="10"/>
  <c r="P54" i="11"/>
  <c r="P95" i="11"/>
  <c r="K397" i="11"/>
  <c r="K416" i="11"/>
  <c r="K547" i="11"/>
  <c r="K614" i="8"/>
  <c r="K622" i="8"/>
  <c r="K612" i="9"/>
  <c r="P45" i="10"/>
  <c r="L26" i="10"/>
  <c r="O61" i="10"/>
  <c r="L98" i="10"/>
  <c r="P275" i="10"/>
  <c r="M273" i="10"/>
  <c r="L32" i="10"/>
  <c r="O383" i="10"/>
  <c r="K426" i="10"/>
  <c r="O566" i="10"/>
  <c r="P25" i="11"/>
  <c r="M15" i="11"/>
  <c r="P15" i="11" s="1"/>
  <c r="L23" i="11"/>
  <c r="L122" i="11"/>
  <c r="K189" i="11"/>
  <c r="O272" i="11"/>
  <c r="P275" i="11"/>
  <c r="M273" i="11"/>
  <c r="P273" i="11" s="1"/>
  <c r="O337" i="11"/>
  <c r="P144" i="12"/>
  <c r="M142" i="12"/>
  <c r="K615" i="8"/>
  <c r="K623" i="8"/>
  <c r="K613" i="9"/>
  <c r="L23" i="10"/>
  <c r="L45" i="10"/>
  <c r="N68" i="10"/>
  <c r="P311" i="10"/>
  <c r="N33" i="10"/>
  <c r="N13" i="10" s="1"/>
  <c r="N26" i="11"/>
  <c r="N16" i="11" s="1"/>
  <c r="P16" i="11" s="1"/>
  <c r="N31" i="11"/>
  <c r="O438" i="11"/>
  <c r="L33" i="11"/>
  <c r="O33" i="11" s="1"/>
  <c r="P25" i="12"/>
  <c r="M15" i="12"/>
  <c r="P15" i="12" s="1"/>
  <c r="K618" i="12"/>
  <c r="K615" i="12"/>
  <c r="K612" i="12"/>
  <c r="K617" i="12"/>
  <c r="K614" i="12"/>
  <c r="K616" i="12"/>
  <c r="K613" i="12"/>
  <c r="K619" i="12"/>
  <c r="K611" i="12"/>
  <c r="P54" i="14"/>
  <c r="M53" i="14"/>
  <c r="K618" i="8"/>
  <c r="K626" i="8"/>
  <c r="K616" i="9"/>
  <c r="K624" i="9"/>
  <c r="K634" i="9"/>
  <c r="N55" i="10"/>
  <c r="N53" i="10" s="1"/>
  <c r="O221" i="10"/>
  <c r="P224" i="10"/>
  <c r="M222" i="10"/>
  <c r="O354" i="10"/>
  <c r="K398" i="10"/>
  <c r="K402" i="10"/>
  <c r="O437" i="10"/>
  <c r="O534" i="10"/>
  <c r="L31" i="10"/>
  <c r="L45" i="11"/>
  <c r="P224" i="11"/>
  <c r="M222" i="11"/>
  <c r="N292" i="11"/>
  <c r="N290" i="11" s="1"/>
  <c r="K380" i="11"/>
  <c r="K425" i="11"/>
  <c r="O435" i="11"/>
  <c r="O330" i="12"/>
  <c r="L33" i="12"/>
  <c r="O33" i="12" s="1"/>
  <c r="O536" i="12"/>
  <c r="L23" i="15"/>
  <c r="L45" i="15"/>
  <c r="M312" i="8"/>
  <c r="P312" i="8" s="1"/>
  <c r="K613" i="8"/>
  <c r="K621" i="8"/>
  <c r="M142" i="9"/>
  <c r="M252" i="9"/>
  <c r="P252" i="9" s="1"/>
  <c r="K611" i="9"/>
  <c r="K619" i="9"/>
  <c r="P9" i="10"/>
  <c r="O221" i="11"/>
  <c r="P333" i="11"/>
  <c r="O553" i="11"/>
  <c r="L32" i="11"/>
  <c r="O251" i="13"/>
  <c r="M250" i="15"/>
  <c r="M220" i="9"/>
  <c r="P98" i="10"/>
  <c r="M96" i="10"/>
  <c r="P96" i="10" s="1"/>
  <c r="N22" i="11"/>
  <c r="O119" i="11"/>
  <c r="P122" i="11"/>
  <c r="M120" i="11"/>
  <c r="K401" i="11"/>
  <c r="K432" i="11"/>
  <c r="O25" i="14"/>
  <c r="L15" i="14"/>
  <c r="O15" i="14" s="1"/>
  <c r="K614" i="10"/>
  <c r="K622" i="10"/>
  <c r="L15" i="11"/>
  <c r="O15" i="11" s="1"/>
  <c r="K615" i="11"/>
  <c r="P254" i="12"/>
  <c r="M252" i="12"/>
  <c r="O347" i="12"/>
  <c r="K420" i="12"/>
  <c r="O584" i="12"/>
  <c r="N252" i="13"/>
  <c r="N250" i="13" s="1"/>
  <c r="O600" i="15"/>
  <c r="L33" i="15"/>
  <c r="O33" i="15" s="1"/>
  <c r="K617" i="10"/>
  <c r="M310" i="11"/>
  <c r="P310" i="11" s="1"/>
  <c r="P337" i="11"/>
  <c r="K564" i="11"/>
  <c r="L19" i="12"/>
  <c r="O102" i="12"/>
  <c r="M102" i="12"/>
  <c r="M96" i="12" s="1"/>
  <c r="K204" i="12"/>
  <c r="O533" i="12"/>
  <c r="O599" i="12"/>
  <c r="M9" i="13"/>
  <c r="P11" i="13"/>
  <c r="P29" i="13"/>
  <c r="M28" i="13"/>
  <c r="P28" i="13" s="1"/>
  <c r="N26" i="13"/>
  <c r="N16" i="13" s="1"/>
  <c r="P16" i="13" s="1"/>
  <c r="M55" i="10"/>
  <c r="K615" i="10"/>
  <c r="O601" i="11"/>
  <c r="K613" i="11"/>
  <c r="N26" i="12"/>
  <c r="K200" i="12"/>
  <c r="K264" i="12"/>
  <c r="N273" i="12"/>
  <c r="N271" i="12" s="1"/>
  <c r="K428" i="12"/>
  <c r="N19" i="13"/>
  <c r="O25" i="13"/>
  <c r="L15" i="13"/>
  <c r="O15" i="13" s="1"/>
  <c r="N55" i="13"/>
  <c r="N53" i="13" s="1"/>
  <c r="N22" i="13"/>
  <c r="L24" i="13"/>
  <c r="O141" i="13"/>
  <c r="M22" i="12"/>
  <c r="K369" i="12"/>
  <c r="I367" i="12"/>
  <c r="K367" i="12" s="1"/>
  <c r="N31" i="12"/>
  <c r="N34" i="14"/>
  <c r="N14" i="14" s="1"/>
  <c r="O385" i="14"/>
  <c r="K612" i="11"/>
  <c r="K617" i="11"/>
  <c r="K614" i="11"/>
  <c r="K619" i="11"/>
  <c r="K611" i="11"/>
  <c r="K618" i="11"/>
  <c r="K628" i="11"/>
  <c r="P29" i="12"/>
  <c r="M28" i="12"/>
  <c r="P28" i="12" s="1"/>
  <c r="P57" i="12"/>
  <c r="N68" i="12"/>
  <c r="N66" i="12" s="1"/>
  <c r="P98" i="12"/>
  <c r="N120" i="12"/>
  <c r="P221" i="12"/>
  <c r="M220" i="12"/>
  <c r="L224" i="12"/>
  <c r="M290" i="12"/>
  <c r="P290" i="12" s="1"/>
  <c r="P292" i="12"/>
  <c r="O439" i="12"/>
  <c r="O568" i="12"/>
  <c r="O19" i="13"/>
  <c r="L34" i="13"/>
  <c r="P25" i="15"/>
  <c r="M15" i="15"/>
  <c r="P15" i="15" s="1"/>
  <c r="O25" i="12"/>
  <c r="L15" i="12"/>
  <c r="O15" i="12" s="1"/>
  <c r="N55" i="12"/>
  <c r="N53" i="12" s="1"/>
  <c r="N22" i="12"/>
  <c r="N96" i="12"/>
  <c r="N94" i="12" s="1"/>
  <c r="O403" i="13"/>
  <c r="L31" i="13"/>
  <c r="P122" i="14"/>
  <c r="M22" i="14"/>
  <c r="M120" i="14"/>
  <c r="O221" i="14"/>
  <c r="K626" i="11"/>
  <c r="M14" i="12"/>
  <c r="P14" i="12" s="1"/>
  <c r="O21" i="12"/>
  <c r="P33" i="12"/>
  <c r="M271" i="12"/>
  <c r="P271" i="12" s="1"/>
  <c r="K624" i="12"/>
  <c r="M43" i="13"/>
  <c r="M220" i="13"/>
  <c r="O599" i="13"/>
  <c r="K617" i="13"/>
  <c r="K614" i="13"/>
  <c r="K619" i="13"/>
  <c r="K611" i="13"/>
  <c r="K616" i="13"/>
  <c r="K615" i="13"/>
  <c r="K612" i="13"/>
  <c r="K418" i="14"/>
  <c r="O437" i="14"/>
  <c r="O19" i="15"/>
  <c r="K189" i="15"/>
  <c r="O251" i="15"/>
  <c r="K266" i="15"/>
  <c r="O119" i="16"/>
  <c r="K622" i="12"/>
  <c r="I367" i="13"/>
  <c r="K367" i="13" s="1"/>
  <c r="K371" i="13"/>
  <c r="P23" i="14"/>
  <c r="M13" i="14"/>
  <c r="P13" i="14" s="1"/>
  <c r="M16" i="14"/>
  <c r="P221" i="14"/>
  <c r="M329" i="14"/>
  <c r="O534" i="14"/>
  <c r="L31" i="14"/>
  <c r="O119" i="15"/>
  <c r="P224" i="15"/>
  <c r="M222" i="15"/>
  <c r="P272" i="18"/>
  <c r="M55" i="12"/>
  <c r="K625" i="12"/>
  <c r="P337" i="13"/>
  <c r="O439" i="13"/>
  <c r="N26" i="14"/>
  <c r="N16" i="14" s="1"/>
  <c r="P32" i="14"/>
  <c r="M30" i="14"/>
  <c r="P30" i="14" s="1"/>
  <c r="P95" i="14"/>
  <c r="P144" i="14"/>
  <c r="M142" i="14"/>
  <c r="O330" i="14"/>
  <c r="K369" i="14"/>
  <c r="I367" i="14"/>
  <c r="K367" i="14" s="1"/>
  <c r="P119" i="15"/>
  <c r="O67" i="16"/>
  <c r="O337" i="16"/>
  <c r="M337" i="16"/>
  <c r="O42" i="17"/>
  <c r="K620" i="12"/>
  <c r="L26" i="13"/>
  <c r="P275" i="13"/>
  <c r="M273" i="13"/>
  <c r="O383" i="14"/>
  <c r="L32" i="14"/>
  <c r="M19" i="15"/>
  <c r="P31" i="15"/>
  <c r="M29" i="15"/>
  <c r="N96" i="15"/>
  <c r="N94" i="15" s="1"/>
  <c r="N22" i="15"/>
  <c r="O141" i="15"/>
  <c r="P42" i="17"/>
  <c r="M41" i="17"/>
  <c r="M329" i="12"/>
  <c r="K623" i="12"/>
  <c r="M140" i="13"/>
  <c r="P11" i="14"/>
  <c r="M9" i="14"/>
  <c r="L19" i="14"/>
  <c r="P49" i="14"/>
  <c r="L24" i="14"/>
  <c r="L98" i="14"/>
  <c r="L23" i="14"/>
  <c r="P254" i="14"/>
  <c r="M252" i="14"/>
  <c r="L33" i="14"/>
  <c r="O33" i="14" s="1"/>
  <c r="O353" i="14"/>
  <c r="O401" i="14"/>
  <c r="K631" i="14"/>
  <c r="N19" i="15"/>
  <c r="P34" i="15"/>
  <c r="M14" i="15"/>
  <c r="P14" i="15" s="1"/>
  <c r="P333" i="17"/>
  <c r="M331" i="17"/>
  <c r="M22" i="17"/>
  <c r="M66" i="13"/>
  <c r="L275" i="13"/>
  <c r="O330" i="13"/>
  <c r="K499" i="13"/>
  <c r="O533" i="13"/>
  <c r="K613" i="13"/>
  <c r="P29" i="14"/>
  <c r="N22" i="14"/>
  <c r="N43" i="14"/>
  <c r="N41" i="14" s="1"/>
  <c r="K173" i="14"/>
  <c r="P275" i="14"/>
  <c r="M273" i="14"/>
  <c r="N33" i="14"/>
  <c r="N13" i="14" s="1"/>
  <c r="K473" i="14"/>
  <c r="L23" i="16"/>
  <c r="L45" i="16"/>
  <c r="P272" i="17"/>
  <c r="M271" i="17"/>
  <c r="P311" i="17"/>
  <c r="M310" i="17"/>
  <c r="P310" i="17" s="1"/>
  <c r="K620" i="13"/>
  <c r="L26" i="14"/>
  <c r="M222" i="14"/>
  <c r="M290" i="14"/>
  <c r="P290" i="14" s="1"/>
  <c r="K618" i="14"/>
  <c r="K626" i="14"/>
  <c r="N26" i="15"/>
  <c r="M120" i="15"/>
  <c r="P120" i="15" s="1"/>
  <c r="O311" i="15"/>
  <c r="O272" i="16"/>
  <c r="K623" i="13"/>
  <c r="K621" i="14"/>
  <c r="M11" i="15"/>
  <c r="P21" i="15"/>
  <c r="M53" i="15"/>
  <c r="K270" i="15"/>
  <c r="P311" i="15"/>
  <c r="L314" i="15"/>
  <c r="O383" i="15"/>
  <c r="O42" i="16"/>
  <c r="K285" i="16"/>
  <c r="L23" i="17"/>
  <c r="L45" i="17"/>
  <c r="K624" i="13"/>
  <c r="M43" i="14"/>
  <c r="K622" i="14"/>
  <c r="O404" i="15"/>
  <c r="O19" i="16"/>
  <c r="M26" i="17"/>
  <c r="P74" i="17"/>
  <c r="P291" i="15"/>
  <c r="K449" i="15"/>
  <c r="K562" i="15"/>
  <c r="K626" i="15"/>
  <c r="K623" i="15"/>
  <c r="K620" i="15"/>
  <c r="K625" i="15"/>
  <c r="K624" i="15"/>
  <c r="K621" i="15"/>
  <c r="P19" i="16"/>
  <c r="N15" i="16"/>
  <c r="N19" i="16"/>
  <c r="K621" i="16"/>
  <c r="K626" i="16"/>
  <c r="K623" i="16"/>
  <c r="K620" i="16"/>
  <c r="K624" i="16"/>
  <c r="K625" i="16"/>
  <c r="K622" i="16"/>
  <c r="K349" i="15"/>
  <c r="P31" i="16"/>
  <c r="M29" i="16"/>
  <c r="M11" i="16"/>
  <c r="P311" i="16"/>
  <c r="O382" i="16"/>
  <c r="L31" i="16"/>
  <c r="L11" i="16" s="1"/>
  <c r="K369" i="15"/>
  <c r="I367" i="15"/>
  <c r="K367" i="15" s="1"/>
  <c r="P224" i="16"/>
  <c r="M222" i="16"/>
  <c r="O537" i="16"/>
  <c r="L34" i="16"/>
  <c r="O566" i="16"/>
  <c r="K613" i="15"/>
  <c r="M53" i="16"/>
  <c r="M140" i="16"/>
  <c r="M273" i="16"/>
  <c r="K416" i="16"/>
  <c r="K432" i="16"/>
  <c r="O19" i="17"/>
  <c r="P24" i="17"/>
  <c r="M14" i="17"/>
  <c r="P14" i="17" s="1"/>
  <c r="O119" i="17"/>
  <c r="P224" i="17"/>
  <c r="M222" i="17"/>
  <c r="P311" i="18"/>
  <c r="L275" i="16"/>
  <c r="O311" i="16"/>
  <c r="K343" i="16"/>
  <c r="P19" i="17"/>
  <c r="O54" i="17"/>
  <c r="P119" i="17"/>
  <c r="K266" i="17"/>
  <c r="O272" i="17"/>
  <c r="O141" i="17"/>
  <c r="P24" i="18"/>
  <c r="M14" i="18"/>
  <c r="P14" i="18" s="1"/>
  <c r="P42" i="18"/>
  <c r="K612" i="15"/>
  <c r="L26" i="16"/>
  <c r="K396" i="16"/>
  <c r="K629" i="16"/>
  <c r="O21" i="17"/>
  <c r="M29" i="17"/>
  <c r="M11" i="17"/>
  <c r="P31" i="17"/>
  <c r="O49" i="17"/>
  <c r="L26" i="17"/>
  <c r="M68" i="17"/>
  <c r="N26" i="17"/>
  <c r="N16" i="17" s="1"/>
  <c r="K235" i="17"/>
  <c r="P272" i="16"/>
  <c r="O67" i="17"/>
  <c r="O354" i="17"/>
  <c r="L34" i="17"/>
  <c r="L19" i="18"/>
  <c r="O21" i="18"/>
  <c r="P333" i="18"/>
  <c r="M331" i="18"/>
  <c r="M14" i="16"/>
  <c r="P14" i="16" s="1"/>
  <c r="M66" i="16"/>
  <c r="P66" i="16" s="1"/>
  <c r="M118" i="16"/>
  <c r="P118" i="16" s="1"/>
  <c r="O435" i="16"/>
  <c r="M13" i="17"/>
  <c r="P13" i="17" s="1"/>
  <c r="P67" i="17"/>
  <c r="O251" i="17"/>
  <c r="K270" i="17"/>
  <c r="O351" i="17"/>
  <c r="L31" i="17"/>
  <c r="O141" i="18"/>
  <c r="K396" i="17"/>
  <c r="P19" i="18"/>
  <c r="P119" i="18"/>
  <c r="M118" i="18"/>
  <c r="P118" i="18" s="1"/>
  <c r="M140" i="18"/>
  <c r="P224" i="18"/>
  <c r="M222" i="18"/>
  <c r="O251" i="18"/>
  <c r="L31" i="18"/>
  <c r="L11" i="18" s="1"/>
  <c r="O351" i="18"/>
  <c r="K424" i="18"/>
  <c r="O406" i="17"/>
  <c r="O435" i="17"/>
  <c r="O537" i="17"/>
  <c r="K629" i="17"/>
  <c r="O42" i="18"/>
  <c r="L122" i="18"/>
  <c r="O272" i="18"/>
  <c r="K612" i="16"/>
  <c r="K625" i="17"/>
  <c r="L33" i="18"/>
  <c r="O33" i="18" s="1"/>
  <c r="O49" i="18"/>
  <c r="L26" i="18"/>
  <c r="N32" i="18"/>
  <c r="K615" i="16"/>
  <c r="O352" i="17"/>
  <c r="K375" i="17"/>
  <c r="K423" i="17"/>
  <c r="K189" i="18"/>
  <c r="K235" i="18"/>
  <c r="N292" i="18"/>
  <c r="P292" i="18" s="1"/>
  <c r="O383" i="18"/>
  <c r="K416" i="18"/>
  <c r="O455" i="18"/>
  <c r="N22" i="18"/>
  <c r="L57" i="18"/>
  <c r="L23" i="18"/>
  <c r="O67" i="18"/>
  <c r="K343" i="17"/>
  <c r="K376" i="17"/>
  <c r="K624" i="17"/>
  <c r="K621" i="17"/>
  <c r="K626" i="17"/>
  <c r="K623" i="17"/>
  <c r="K620" i="17"/>
  <c r="O54" i="18"/>
  <c r="P67" i="18"/>
  <c r="N26" i="18"/>
  <c r="N16" i="18" s="1"/>
  <c r="O119" i="18"/>
  <c r="P337" i="18"/>
  <c r="L34" i="18"/>
  <c r="O354" i="18"/>
  <c r="M30" i="18"/>
  <c r="M290" i="18"/>
  <c r="K615" i="17"/>
  <c r="M74" i="18"/>
  <c r="P102" i="19"/>
  <c r="M96" i="19"/>
  <c r="M26" i="19"/>
  <c r="K613" i="17"/>
  <c r="M11" i="18"/>
  <c r="O19" i="19"/>
  <c r="K611" i="17"/>
  <c r="M13" i="18"/>
  <c r="P13" i="18" s="1"/>
  <c r="M22" i="18"/>
  <c r="M55" i="18"/>
  <c r="O564" i="18"/>
  <c r="P19" i="19"/>
  <c r="L32" i="20"/>
  <c r="O535" i="20"/>
  <c r="K612" i="18"/>
  <c r="K620" i="18"/>
  <c r="L26" i="19"/>
  <c r="M222" i="19"/>
  <c r="M290" i="19"/>
  <c r="P290" i="19" s="1"/>
  <c r="O337" i="19"/>
  <c r="K612" i="19"/>
  <c r="K620" i="19"/>
  <c r="P251" i="20"/>
  <c r="M250" i="20"/>
  <c r="P250" i="20" s="1"/>
  <c r="O19" i="21"/>
  <c r="K615" i="18"/>
  <c r="K623" i="18"/>
  <c r="M9" i="19"/>
  <c r="L23" i="19"/>
  <c r="N222" i="19"/>
  <c r="N220" i="19" s="1"/>
  <c r="M331" i="19"/>
  <c r="K615" i="19"/>
  <c r="M94" i="20"/>
  <c r="P94" i="20" s="1"/>
  <c r="P96" i="20"/>
  <c r="N33" i="20"/>
  <c r="N13" i="20" s="1"/>
  <c r="L34" i="20"/>
  <c r="O555" i="20"/>
  <c r="K618" i="18"/>
  <c r="K626" i="18"/>
  <c r="M14" i="19"/>
  <c r="P14" i="19" s="1"/>
  <c r="O21" i="19"/>
  <c r="P33" i="19"/>
  <c r="M66" i="19"/>
  <c r="P66" i="19" s="1"/>
  <c r="M118" i="19"/>
  <c r="M271" i="19"/>
  <c r="K618" i="19"/>
  <c r="K626" i="19"/>
  <c r="M14" i="20"/>
  <c r="P14" i="20" s="1"/>
  <c r="K613" i="18"/>
  <c r="K621" i="18"/>
  <c r="K613" i="19"/>
  <c r="P25" i="20"/>
  <c r="M15" i="20"/>
  <c r="M220" i="20"/>
  <c r="P9" i="21"/>
  <c r="K616" i="18"/>
  <c r="K624" i="18"/>
  <c r="K616" i="19"/>
  <c r="K624" i="19"/>
  <c r="O19" i="20"/>
  <c r="L57" i="20"/>
  <c r="L23" i="20"/>
  <c r="K402" i="20"/>
  <c r="K427" i="20"/>
  <c r="K619" i="18"/>
  <c r="O42" i="20"/>
  <c r="O67" i="20"/>
  <c r="O126" i="20"/>
  <c r="L26" i="20"/>
  <c r="P141" i="20"/>
  <c r="M140" i="20"/>
  <c r="M28" i="19"/>
  <c r="P28" i="19" s="1"/>
  <c r="N252" i="19"/>
  <c r="N250" i="19" s="1"/>
  <c r="P250" i="19" s="1"/>
  <c r="M19" i="20"/>
  <c r="L45" i="20"/>
  <c r="L144" i="20"/>
  <c r="K229" i="20"/>
  <c r="M22" i="20"/>
  <c r="P294" i="20"/>
  <c r="M292" i="20"/>
  <c r="N312" i="20"/>
  <c r="N310" i="20" s="1"/>
  <c r="N26" i="20"/>
  <c r="O42" i="21"/>
  <c r="O67" i="21"/>
  <c r="P95" i="21"/>
  <c r="O221" i="21"/>
  <c r="P275" i="21"/>
  <c r="M273" i="21"/>
  <c r="L19" i="22"/>
  <c r="O21" i="22"/>
  <c r="M310" i="20"/>
  <c r="P310" i="20" s="1"/>
  <c r="K615" i="20"/>
  <c r="K623" i="20"/>
  <c r="K80" i="21"/>
  <c r="O272" i="21"/>
  <c r="O439" i="21"/>
  <c r="L34" i="21"/>
  <c r="K464" i="21"/>
  <c r="O580" i="21"/>
  <c r="M30" i="20"/>
  <c r="K626" i="20"/>
  <c r="L23" i="21"/>
  <c r="M30" i="21"/>
  <c r="P30" i="21" s="1"/>
  <c r="P32" i="21"/>
  <c r="N31" i="22"/>
  <c r="K621" i="20"/>
  <c r="P57" i="21"/>
  <c r="M55" i="21"/>
  <c r="P74" i="21"/>
  <c r="P122" i="21"/>
  <c r="M120" i="21"/>
  <c r="K380" i="21"/>
  <c r="O382" i="21"/>
  <c r="L31" i="21"/>
  <c r="P9" i="22"/>
  <c r="M53" i="22"/>
  <c r="P54" i="22"/>
  <c r="K624" i="20"/>
  <c r="N68" i="21"/>
  <c r="N66" i="21" s="1"/>
  <c r="O74" i="21"/>
  <c r="O119" i="21"/>
  <c r="K199" i="21"/>
  <c r="O352" i="21"/>
  <c r="K376" i="21"/>
  <c r="K533" i="21"/>
  <c r="O535" i="21"/>
  <c r="L32" i="21"/>
  <c r="O67" i="22"/>
  <c r="O102" i="22"/>
  <c r="K615" i="22"/>
  <c r="K612" i="22"/>
  <c r="K617" i="22"/>
  <c r="K614" i="22"/>
  <c r="K619" i="22"/>
  <c r="K611" i="22"/>
  <c r="K616" i="22"/>
  <c r="K613" i="22"/>
  <c r="K618" i="22"/>
  <c r="P45" i="21"/>
  <c r="M13" i="22"/>
  <c r="P13" i="22" s="1"/>
  <c r="P33" i="22"/>
  <c r="L24" i="22"/>
  <c r="L45" i="22"/>
  <c r="O553" i="22"/>
  <c r="L32" i="22"/>
  <c r="K622" i="20"/>
  <c r="P70" i="21"/>
  <c r="M68" i="21"/>
  <c r="P224" i="21"/>
  <c r="M222" i="21"/>
  <c r="O74" i="22"/>
  <c r="L26" i="22"/>
  <c r="O119" i="22"/>
  <c r="O406" i="22"/>
  <c r="L34" i="22"/>
  <c r="M13" i="20"/>
  <c r="P13" i="20" s="1"/>
  <c r="M55" i="20"/>
  <c r="I367" i="20"/>
  <c r="K367" i="20" s="1"/>
  <c r="M22" i="21"/>
  <c r="L45" i="21"/>
  <c r="L98" i="21"/>
  <c r="K397" i="21"/>
  <c r="M29" i="21"/>
  <c r="M140" i="21"/>
  <c r="M250" i="21"/>
  <c r="M312" i="21"/>
  <c r="P312" i="21" s="1"/>
  <c r="K619" i="21"/>
  <c r="K611" i="21"/>
  <c r="K618" i="21"/>
  <c r="K616" i="21"/>
  <c r="K626" i="21"/>
  <c r="K622" i="21"/>
  <c r="K635" i="21"/>
  <c r="M19" i="22"/>
  <c r="P67" i="22"/>
  <c r="M142" i="22"/>
  <c r="M43" i="21"/>
  <c r="N43" i="22"/>
  <c r="N41" i="22" s="1"/>
  <c r="N26" i="22"/>
  <c r="N16" i="22" s="1"/>
  <c r="O95" i="22"/>
  <c r="P224" i="22"/>
  <c r="M222" i="22"/>
  <c r="P222" i="22" s="1"/>
  <c r="P254" i="22"/>
  <c r="M252" i="22"/>
  <c r="O568" i="22"/>
  <c r="K595" i="21"/>
  <c r="K614" i="21"/>
  <c r="P42" i="22"/>
  <c r="O221" i="22"/>
  <c r="P275" i="22"/>
  <c r="M273" i="22"/>
  <c r="O347" i="22"/>
  <c r="K368" i="22"/>
  <c r="O533" i="22"/>
  <c r="M96" i="21"/>
  <c r="P96" i="21" s="1"/>
  <c r="I367" i="21"/>
  <c r="K367" i="21" s="1"/>
  <c r="K563" i="21"/>
  <c r="K612" i="21"/>
  <c r="K628" i="21"/>
  <c r="N22" i="22"/>
  <c r="O42" i="22"/>
  <c r="P95" i="22"/>
  <c r="P98" i="22"/>
  <c r="K173" i="22"/>
  <c r="L26" i="21"/>
  <c r="K615" i="21"/>
  <c r="K621" i="21"/>
  <c r="P24" i="22"/>
  <c r="M14" i="22"/>
  <c r="P14" i="22" s="1"/>
  <c r="P45" i="22"/>
  <c r="K564" i="21"/>
  <c r="O601" i="21"/>
  <c r="K624" i="21"/>
  <c r="M43" i="22"/>
  <c r="O54" i="22"/>
  <c r="K199" i="22"/>
  <c r="O330" i="22"/>
  <c r="K624" i="22"/>
  <c r="K622" i="22"/>
  <c r="N34" i="22"/>
  <c r="N14" i="22" s="1"/>
  <c r="I367" i="22"/>
  <c r="K367" i="22" s="1"/>
  <c r="K625" i="22"/>
  <c r="K216" i="1" l="1"/>
  <c r="O331" i="9"/>
  <c r="K108" i="1"/>
  <c r="L312" i="4"/>
  <c r="O254" i="6"/>
  <c r="K473" i="1"/>
  <c r="P142" i="5"/>
  <c r="P53" i="17"/>
  <c r="K449" i="1"/>
  <c r="L312" i="6"/>
  <c r="L310" i="6" s="1"/>
  <c r="O310" i="6" s="1"/>
  <c r="K420" i="1"/>
  <c r="P222" i="7"/>
  <c r="P142" i="9"/>
  <c r="P222" i="8"/>
  <c r="M310" i="22"/>
  <c r="P310" i="22" s="1"/>
  <c r="L331" i="19"/>
  <c r="L329" i="19" s="1"/>
  <c r="O329" i="19" s="1"/>
  <c r="P292" i="6"/>
  <c r="O314" i="22"/>
  <c r="L331" i="11"/>
  <c r="L329" i="11" s="1"/>
  <c r="O329" i="11" s="1"/>
  <c r="K85" i="1"/>
  <c r="L142" i="7"/>
  <c r="O142" i="7" s="1"/>
  <c r="L252" i="10"/>
  <c r="O252" i="10" s="1"/>
  <c r="K547" i="1"/>
  <c r="K481" i="1"/>
  <c r="K465" i="1"/>
  <c r="K117" i="1"/>
  <c r="K229" i="1"/>
  <c r="O55" i="6"/>
  <c r="L273" i="20"/>
  <c r="O273" i="20" s="1"/>
  <c r="L222" i="16"/>
  <c r="O222" i="16" s="1"/>
  <c r="N220" i="12"/>
  <c r="P220" i="12" s="1"/>
  <c r="K200" i="1"/>
  <c r="P331" i="14"/>
  <c r="K112" i="1"/>
  <c r="P329" i="13"/>
  <c r="K634" i="1"/>
  <c r="L331" i="5"/>
  <c r="O331" i="5" s="1"/>
  <c r="O31" i="8"/>
  <c r="L11" i="8"/>
  <c r="L9" i="8" s="1"/>
  <c r="M331" i="21"/>
  <c r="P331" i="21" s="1"/>
  <c r="K424" i="1"/>
  <c r="P254" i="1"/>
  <c r="K591" i="1"/>
  <c r="O45" i="9"/>
  <c r="L13" i="22"/>
  <c r="O13" i="22" s="1"/>
  <c r="K633" i="1"/>
  <c r="P98" i="1"/>
  <c r="M66" i="9"/>
  <c r="P66" i="9" s="1"/>
  <c r="K401" i="1"/>
  <c r="K109" i="1"/>
  <c r="K219" i="1"/>
  <c r="L43" i="19"/>
  <c r="L41" i="19" s="1"/>
  <c r="O41" i="19" s="1"/>
  <c r="P43" i="19"/>
  <c r="L273" i="7"/>
  <c r="O273" i="7" s="1"/>
  <c r="L252" i="18"/>
  <c r="O252" i="18" s="1"/>
  <c r="L273" i="11"/>
  <c r="O273" i="11" s="1"/>
  <c r="L142" i="3"/>
  <c r="L140" i="3" s="1"/>
  <c r="O140" i="3" s="1"/>
  <c r="L68" i="14"/>
  <c r="O68" i="14" s="1"/>
  <c r="L222" i="9"/>
  <c r="L220" i="9" s="1"/>
  <c r="O220" i="9" s="1"/>
  <c r="L312" i="20"/>
  <c r="O312" i="20" s="1"/>
  <c r="L96" i="13"/>
  <c r="L94" i="13" s="1"/>
  <c r="O94" i="13" s="1"/>
  <c r="K482" i="1"/>
  <c r="K306" i="1"/>
  <c r="K427" i="1"/>
  <c r="O45" i="14"/>
  <c r="K235" i="1"/>
  <c r="O102" i="1"/>
  <c r="K81" i="1"/>
  <c r="K133" i="1"/>
  <c r="P122" i="1"/>
  <c r="K173" i="1"/>
  <c r="O224" i="17"/>
  <c r="K86" i="1"/>
  <c r="O564" i="1"/>
  <c r="L142" i="2"/>
  <c r="O142" i="2" s="1"/>
  <c r="O68" i="17"/>
  <c r="O224" i="21"/>
  <c r="P252" i="11"/>
  <c r="L55" i="22"/>
  <c r="L53" i="22" s="1"/>
  <c r="O294" i="18"/>
  <c r="M310" i="14"/>
  <c r="P310" i="14" s="1"/>
  <c r="L120" i="6"/>
  <c r="O120" i="6" s="1"/>
  <c r="O34" i="8"/>
  <c r="L312" i="13"/>
  <c r="O312" i="13" s="1"/>
  <c r="K618" i="1"/>
  <c r="K615" i="1"/>
  <c r="K189" i="1"/>
  <c r="O331" i="22"/>
  <c r="K564" i="1"/>
  <c r="P273" i="16"/>
  <c r="P331" i="7"/>
  <c r="O437" i="1"/>
  <c r="K417" i="1"/>
  <c r="L331" i="18"/>
  <c r="O331" i="18" s="1"/>
  <c r="K265" i="1"/>
  <c r="K249" i="1"/>
  <c r="L312" i="21"/>
  <c r="O312" i="21" s="1"/>
  <c r="O252" i="15"/>
  <c r="O275" i="12"/>
  <c r="K422" i="1"/>
  <c r="O331" i="7"/>
  <c r="L331" i="16"/>
  <c r="L329" i="16" s="1"/>
  <c r="O329" i="16" s="1"/>
  <c r="L331" i="3"/>
  <c r="L329" i="3" s="1"/>
  <c r="O329" i="3" s="1"/>
  <c r="K113" i="1"/>
  <c r="K289" i="1"/>
  <c r="O142" i="13"/>
  <c r="O314" i="12"/>
  <c r="O599" i="1"/>
  <c r="P294" i="1"/>
  <c r="K375" i="1"/>
  <c r="M26" i="16"/>
  <c r="P26" i="16" s="1"/>
  <c r="M310" i="3"/>
  <c r="P310" i="3" s="1"/>
  <c r="O144" i="6"/>
  <c r="L331" i="12"/>
  <c r="O331" i="12" s="1"/>
  <c r="K328" i="1"/>
  <c r="K110" i="1"/>
  <c r="O385" i="1"/>
  <c r="L43" i="3"/>
  <c r="O43" i="3" s="1"/>
  <c r="K425" i="1"/>
  <c r="M290" i="17"/>
  <c r="P290" i="17" s="1"/>
  <c r="O224" i="18"/>
  <c r="M66" i="14"/>
  <c r="P66" i="14" s="1"/>
  <c r="L273" i="10"/>
  <c r="O273" i="10" s="1"/>
  <c r="K474" i="1"/>
  <c r="P142" i="13"/>
  <c r="K396" i="1"/>
  <c r="O294" i="15"/>
  <c r="K309" i="1"/>
  <c r="K632" i="1"/>
  <c r="P57" i="1"/>
  <c r="O122" i="17"/>
  <c r="K416" i="1"/>
  <c r="P144" i="1"/>
  <c r="L55" i="10"/>
  <c r="L53" i="10" s="1"/>
  <c r="O53" i="10" s="1"/>
  <c r="K65" i="1"/>
  <c r="P68" i="20"/>
  <c r="L252" i="17"/>
  <c r="O252" i="17" s="1"/>
  <c r="L312" i="2"/>
  <c r="L310" i="2" s="1"/>
  <c r="O310" i="2" s="1"/>
  <c r="M310" i="13"/>
  <c r="P310" i="13" s="1"/>
  <c r="L292" i="9"/>
  <c r="O292" i="9" s="1"/>
  <c r="L292" i="11"/>
  <c r="O292" i="11" s="1"/>
  <c r="O57" i="7"/>
  <c r="O222" i="21"/>
  <c r="L252" i="4"/>
  <c r="O252" i="4" s="1"/>
  <c r="L96" i="2"/>
  <c r="L94" i="2" s="1"/>
  <c r="O94" i="2" s="1"/>
  <c r="L331" i="20"/>
  <c r="L329" i="20" s="1"/>
  <c r="O329" i="20" s="1"/>
  <c r="O349" i="1"/>
  <c r="P252" i="18"/>
  <c r="O254" i="15"/>
  <c r="M66" i="10"/>
  <c r="P66" i="10" s="1"/>
  <c r="O45" i="7"/>
  <c r="O273" i="17"/>
  <c r="O401" i="1"/>
  <c r="K635" i="1"/>
  <c r="K428" i="1"/>
  <c r="O314" i="8"/>
  <c r="L252" i="13"/>
  <c r="O252" i="13" s="1"/>
  <c r="L120" i="14"/>
  <c r="O120" i="14" s="1"/>
  <c r="L96" i="12"/>
  <c r="L94" i="12" s="1"/>
  <c r="O94" i="12" s="1"/>
  <c r="P43" i="15"/>
  <c r="L120" i="20"/>
  <c r="O120" i="20" s="1"/>
  <c r="L292" i="20"/>
  <c r="O292" i="20" s="1"/>
  <c r="P55" i="7"/>
  <c r="N29" i="20"/>
  <c r="N28" i="20" s="1"/>
  <c r="O601" i="1"/>
  <c r="O533" i="1"/>
  <c r="K204" i="1"/>
  <c r="O275" i="19"/>
  <c r="O435" i="1"/>
  <c r="M41" i="15"/>
  <c r="P41" i="15" s="1"/>
  <c r="K92" i="1"/>
  <c r="K158" i="1"/>
  <c r="P120" i="5"/>
  <c r="K497" i="1"/>
  <c r="L222" i="20"/>
  <c r="L220" i="20" s="1"/>
  <c r="P273" i="5"/>
  <c r="K93" i="1"/>
  <c r="O568" i="1"/>
  <c r="L55" i="17"/>
  <c r="O55" i="17" s="1"/>
  <c r="L142" i="9"/>
  <c r="O142" i="9" s="1"/>
  <c r="O333" i="22"/>
  <c r="L142" i="14"/>
  <c r="O142" i="14" s="1"/>
  <c r="N140" i="2"/>
  <c r="P140" i="2" s="1"/>
  <c r="O331" i="14"/>
  <c r="O45" i="5"/>
  <c r="P220" i="9"/>
  <c r="K429" i="1"/>
  <c r="O32" i="13"/>
  <c r="O294" i="6"/>
  <c r="O122" i="7"/>
  <c r="N12" i="20"/>
  <c r="P222" i="9"/>
  <c r="K423" i="1"/>
  <c r="K580" i="1"/>
  <c r="K630" i="1"/>
  <c r="K87" i="1"/>
  <c r="K138" i="1"/>
  <c r="P275" i="1"/>
  <c r="O597" i="1"/>
  <c r="L120" i="16"/>
  <c r="O120" i="16" s="1"/>
  <c r="L252" i="11"/>
  <c r="L250" i="11" s="1"/>
  <c r="O250" i="11" s="1"/>
  <c r="K623" i="1"/>
  <c r="M220" i="5"/>
  <c r="P220" i="5" s="1"/>
  <c r="K419" i="1"/>
  <c r="L142" i="21"/>
  <c r="O142" i="21" s="1"/>
  <c r="L252" i="2"/>
  <c r="L250" i="2" s="1"/>
  <c r="L68" i="12"/>
  <c r="O68" i="12" s="1"/>
  <c r="K430" i="1"/>
  <c r="K431" i="1"/>
  <c r="O98" i="16"/>
  <c r="O57" i="15"/>
  <c r="O275" i="6"/>
  <c r="L252" i="22"/>
  <c r="O252" i="22" s="1"/>
  <c r="P142" i="8"/>
  <c r="L11" i="4"/>
  <c r="O11" i="4" s="1"/>
  <c r="O31" i="4"/>
  <c r="O224" i="3"/>
  <c r="N220" i="20"/>
  <c r="N37" i="20" s="1"/>
  <c r="L292" i="17"/>
  <c r="O292" i="17" s="1"/>
  <c r="L9" i="20"/>
  <c r="O9" i="20" s="1"/>
  <c r="P66" i="13"/>
  <c r="P68" i="13"/>
  <c r="P53" i="8"/>
  <c r="K622" i="1"/>
  <c r="K215" i="1"/>
  <c r="O275" i="17"/>
  <c r="L96" i="11"/>
  <c r="O96" i="11" s="1"/>
  <c r="P55" i="8"/>
  <c r="K349" i="1"/>
  <c r="K185" i="1"/>
  <c r="P45" i="1"/>
  <c r="K466" i="1"/>
  <c r="K455" i="1"/>
  <c r="K629" i="1"/>
  <c r="N11" i="18"/>
  <c r="N9" i="18" s="1"/>
  <c r="L292" i="7"/>
  <c r="O292" i="7" s="1"/>
  <c r="O57" i="6"/>
  <c r="O45" i="2"/>
  <c r="O74" i="1"/>
  <c r="O96" i="18"/>
  <c r="L94" i="18"/>
  <c r="O94" i="18" s="1"/>
  <c r="L96" i="22"/>
  <c r="O96" i="22" s="1"/>
  <c r="O34" i="20"/>
  <c r="L252" i="7"/>
  <c r="O252" i="7" s="1"/>
  <c r="O254" i="9"/>
  <c r="O98" i="18"/>
  <c r="M290" i="21"/>
  <c r="P290" i="21" s="1"/>
  <c r="O220" i="15"/>
  <c r="O222" i="11"/>
  <c r="P43" i="18"/>
  <c r="K418" i="1"/>
  <c r="L142" i="17"/>
  <c r="O142" i="17" s="1"/>
  <c r="N20" i="6"/>
  <c r="N18" i="6" s="1"/>
  <c r="K551" i="1"/>
  <c r="K149" i="1"/>
  <c r="O254" i="20"/>
  <c r="L29" i="15"/>
  <c r="O29" i="15" s="1"/>
  <c r="L55" i="11"/>
  <c r="L53" i="11" s="1"/>
  <c r="O53" i="11" s="1"/>
  <c r="N12" i="16"/>
  <c r="N10" i="16" s="1"/>
  <c r="L312" i="9"/>
  <c r="O312" i="9" s="1"/>
  <c r="O144" i="16"/>
  <c r="M20" i="8"/>
  <c r="M18" i="8" s="1"/>
  <c r="K595" i="1"/>
  <c r="K450" i="1"/>
  <c r="L222" i="22"/>
  <c r="O222" i="22" s="1"/>
  <c r="M290" i="22"/>
  <c r="P290" i="22" s="1"/>
  <c r="O32" i="17"/>
  <c r="O70" i="16"/>
  <c r="O144" i="13"/>
  <c r="P222" i="6"/>
  <c r="K82" i="1"/>
  <c r="L292" i="5"/>
  <c r="L290" i="5" s="1"/>
  <c r="O290" i="5" s="1"/>
  <c r="L96" i="5"/>
  <c r="O96" i="5" s="1"/>
  <c r="P331" i="13"/>
  <c r="P43" i="13"/>
  <c r="O254" i="16"/>
  <c r="O383" i="1"/>
  <c r="O459" i="1"/>
  <c r="O30" i="17"/>
  <c r="O224" i="15"/>
  <c r="O222" i="15"/>
  <c r="P68" i="8"/>
  <c r="P120" i="19"/>
  <c r="P43" i="17"/>
  <c r="M310" i="16"/>
  <c r="P310" i="16" s="1"/>
  <c r="P140" i="13"/>
  <c r="M94" i="14"/>
  <c r="P94" i="14" s="1"/>
  <c r="O34" i="13"/>
  <c r="L292" i="8"/>
  <c r="O292" i="8" s="1"/>
  <c r="L55" i="5"/>
  <c r="O55" i="5" s="1"/>
  <c r="K625" i="1"/>
  <c r="L273" i="2"/>
  <c r="L271" i="2" s="1"/>
  <c r="O271" i="2" s="1"/>
  <c r="N28" i="6"/>
  <c r="M20" i="2"/>
  <c r="M18" i="2" s="1"/>
  <c r="O404" i="1"/>
  <c r="P333" i="1"/>
  <c r="O566" i="1"/>
  <c r="O455" i="1"/>
  <c r="L68" i="20"/>
  <c r="O68" i="20" s="1"/>
  <c r="M94" i="18"/>
  <c r="P94" i="18" s="1"/>
  <c r="L142" i="15"/>
  <c r="O142" i="15" s="1"/>
  <c r="L140" i="13"/>
  <c r="O140" i="13" s="1"/>
  <c r="M290" i="11"/>
  <c r="P290" i="11" s="1"/>
  <c r="L222" i="10"/>
  <c r="O222" i="10" s="1"/>
  <c r="L68" i="9"/>
  <c r="O68" i="9" s="1"/>
  <c r="L120" i="13"/>
  <c r="O120" i="13" s="1"/>
  <c r="P292" i="9"/>
  <c r="M94" i="8"/>
  <c r="P94" i="8" s="1"/>
  <c r="N28" i="21"/>
  <c r="O406" i="1"/>
  <c r="N43" i="1"/>
  <c r="N41" i="1" s="1"/>
  <c r="K402" i="1"/>
  <c r="K621" i="1"/>
  <c r="O553" i="1"/>
  <c r="O224" i="13"/>
  <c r="M66" i="15"/>
  <c r="P66" i="15" s="1"/>
  <c r="L68" i="13"/>
  <c r="O68" i="13" s="1"/>
  <c r="L68" i="7"/>
  <c r="O68" i="7" s="1"/>
  <c r="M140" i="5"/>
  <c r="P140" i="5" s="1"/>
  <c r="L29" i="19"/>
  <c r="O29" i="19" s="1"/>
  <c r="M20" i="4"/>
  <c r="M18" i="4" s="1"/>
  <c r="P53" i="11"/>
  <c r="O337" i="1"/>
  <c r="K266" i="1"/>
  <c r="K83" i="1"/>
  <c r="M20" i="15"/>
  <c r="M18" i="15" s="1"/>
  <c r="L252" i="21"/>
  <c r="O252" i="21" s="1"/>
  <c r="O31" i="20"/>
  <c r="L292" i="19"/>
  <c r="O292" i="19" s="1"/>
  <c r="O34" i="16"/>
  <c r="L331" i="17"/>
  <c r="O331" i="17" s="1"/>
  <c r="L29" i="20"/>
  <c r="O29" i="20" s="1"/>
  <c r="L55" i="19"/>
  <c r="O55" i="19" s="1"/>
  <c r="L252" i="14"/>
  <c r="O252" i="14" s="1"/>
  <c r="N29" i="13"/>
  <c r="N28" i="13" s="1"/>
  <c r="L120" i="10"/>
  <c r="O120" i="10" s="1"/>
  <c r="O57" i="4"/>
  <c r="K624" i="1"/>
  <c r="K270" i="1"/>
  <c r="P331" i="9"/>
  <c r="K176" i="1"/>
  <c r="P70" i="1"/>
  <c r="K614" i="1"/>
  <c r="O555" i="1"/>
  <c r="P55" i="18"/>
  <c r="P16" i="9"/>
  <c r="P314" i="1"/>
  <c r="K343" i="1"/>
  <c r="N55" i="1"/>
  <c r="N53" i="1" s="1"/>
  <c r="O30" i="6"/>
  <c r="L24" i="1"/>
  <c r="O24" i="1" s="1"/>
  <c r="K201" i="1"/>
  <c r="K370" i="1"/>
  <c r="K186" i="1"/>
  <c r="K84" i="1"/>
  <c r="M41" i="19"/>
  <c r="P41" i="19" s="1"/>
  <c r="M94" i="13"/>
  <c r="P94" i="13" s="1"/>
  <c r="P43" i="9"/>
  <c r="O34" i="9"/>
  <c r="O34" i="6"/>
  <c r="K589" i="1"/>
  <c r="K593" i="1"/>
  <c r="K341" i="1"/>
  <c r="K132" i="1"/>
  <c r="O333" i="9"/>
  <c r="P222" i="14"/>
  <c r="K560" i="1"/>
  <c r="K432" i="1"/>
  <c r="O120" i="17"/>
  <c r="L120" i="19"/>
  <c r="L118" i="19" s="1"/>
  <c r="O118" i="19" s="1"/>
  <c r="L312" i="18"/>
  <c r="O312" i="18" s="1"/>
  <c r="O23" i="22"/>
  <c r="P142" i="19"/>
  <c r="L273" i="18"/>
  <c r="O273" i="18" s="1"/>
  <c r="M250" i="16"/>
  <c r="P250" i="16" s="1"/>
  <c r="M66" i="12"/>
  <c r="P66" i="12" s="1"/>
  <c r="L142" i="12"/>
  <c r="O142" i="12" s="1"/>
  <c r="O312" i="12"/>
  <c r="L273" i="9"/>
  <c r="L271" i="9" s="1"/>
  <c r="O271" i="9" s="1"/>
  <c r="L43" i="4"/>
  <c r="O43" i="4" s="1"/>
  <c r="M94" i="6"/>
  <c r="P94" i="6" s="1"/>
  <c r="M94" i="3"/>
  <c r="P94" i="3" s="1"/>
  <c r="O220" i="3"/>
  <c r="K616" i="1"/>
  <c r="K613" i="1"/>
  <c r="L292" i="12"/>
  <c r="O222" i="3"/>
  <c r="L290" i="3"/>
  <c r="O290" i="3" s="1"/>
  <c r="K380" i="1"/>
  <c r="K345" i="1"/>
  <c r="L26" i="1"/>
  <c r="K377" i="1"/>
  <c r="K597" i="1"/>
  <c r="O354" i="1"/>
  <c r="K611" i="1"/>
  <c r="L329" i="9"/>
  <c r="O329" i="9" s="1"/>
  <c r="O333" i="7"/>
  <c r="M94" i="11"/>
  <c r="P94" i="11" s="1"/>
  <c r="O333" i="6"/>
  <c r="K617" i="1"/>
  <c r="P142" i="21"/>
  <c r="P252" i="17"/>
  <c r="O220" i="17"/>
  <c r="L11" i="15"/>
  <c r="L9" i="15" s="1"/>
  <c r="N53" i="14"/>
  <c r="P53" i="14" s="1"/>
  <c r="L14" i="12"/>
  <c r="O14" i="12" s="1"/>
  <c r="O34" i="12"/>
  <c r="P292" i="10"/>
  <c r="M329" i="9"/>
  <c r="P329" i="9" s="1"/>
  <c r="M290" i="3"/>
  <c r="P290" i="3" s="1"/>
  <c r="L96" i="20"/>
  <c r="P53" i="2"/>
  <c r="O580" i="1"/>
  <c r="O380" i="1"/>
  <c r="P224" i="1"/>
  <c r="K573" i="1"/>
  <c r="K368" i="1"/>
  <c r="K398" i="1"/>
  <c r="K426" i="1"/>
  <c r="K340" i="1"/>
  <c r="O70" i="22"/>
  <c r="P118" i="17"/>
  <c r="N11" i="2"/>
  <c r="N9" i="2" s="1"/>
  <c r="K464" i="1"/>
  <c r="L68" i="5"/>
  <c r="L66" i="5" s="1"/>
  <c r="O66" i="5" s="1"/>
  <c r="L273" i="5"/>
  <c r="O273" i="5" s="1"/>
  <c r="K533" i="1"/>
  <c r="K619" i="1"/>
  <c r="O457" i="1"/>
  <c r="O55" i="7"/>
  <c r="K164" i="1"/>
  <c r="P140" i="20"/>
  <c r="O222" i="17"/>
  <c r="L222" i="14"/>
  <c r="O222" i="14" s="1"/>
  <c r="P329" i="7"/>
  <c r="P55" i="6"/>
  <c r="L43" i="6"/>
  <c r="L41" i="6" s="1"/>
  <c r="O41" i="6" s="1"/>
  <c r="L68" i="6"/>
  <c r="L66" i="6" s="1"/>
  <c r="O66" i="6" s="1"/>
  <c r="O34" i="17"/>
  <c r="O333" i="14"/>
  <c r="M290" i="7"/>
  <c r="P290" i="7" s="1"/>
  <c r="M94" i="9"/>
  <c r="P94" i="9" s="1"/>
  <c r="N11" i="3"/>
  <c r="N9" i="3" s="1"/>
  <c r="M12" i="2"/>
  <c r="P55" i="4"/>
  <c r="P273" i="3"/>
  <c r="O34" i="10"/>
  <c r="K628" i="1"/>
  <c r="K88" i="1"/>
  <c r="K612" i="1"/>
  <c r="O584" i="1"/>
  <c r="L55" i="12"/>
  <c r="L53" i="12" s="1"/>
  <c r="O53" i="12" s="1"/>
  <c r="P43" i="6"/>
  <c r="L312" i="3"/>
  <c r="O312" i="3" s="1"/>
  <c r="N28" i="10"/>
  <c r="L292" i="14"/>
  <c r="L290" i="14" s="1"/>
  <c r="O290" i="14" s="1"/>
  <c r="O582" i="1"/>
  <c r="P55" i="15"/>
  <c r="O31" i="19"/>
  <c r="O331" i="10"/>
  <c r="P55" i="9"/>
  <c r="O45" i="12"/>
  <c r="K213" i="1"/>
  <c r="P142" i="18"/>
  <c r="M94" i="15"/>
  <c r="P94" i="15" s="1"/>
  <c r="P53" i="9"/>
  <c r="O292" i="21"/>
  <c r="O294" i="21"/>
  <c r="P53" i="16"/>
  <c r="P53" i="15"/>
  <c r="M310" i="12"/>
  <c r="P310" i="12" s="1"/>
  <c r="N11" i="7"/>
  <c r="N9" i="7" s="1"/>
  <c r="P312" i="18"/>
  <c r="K451" i="1"/>
  <c r="O53" i="15"/>
  <c r="K435" i="1"/>
  <c r="P252" i="21"/>
  <c r="L312" i="17"/>
  <c r="O312" i="17" s="1"/>
  <c r="P331" i="10"/>
  <c r="O31" i="11"/>
  <c r="O30" i="19"/>
  <c r="K199" i="1"/>
  <c r="L68" i="19"/>
  <c r="O68" i="19" s="1"/>
  <c r="L11" i="11"/>
  <c r="O11" i="11" s="1"/>
  <c r="P142" i="3"/>
  <c r="O32" i="19"/>
  <c r="N32" i="1"/>
  <c r="N30" i="1" s="1"/>
  <c r="O26" i="6"/>
  <c r="P142" i="22"/>
  <c r="N12" i="19"/>
  <c r="N10" i="19" s="1"/>
  <c r="N41" i="11"/>
  <c r="P41" i="11" s="1"/>
  <c r="P140" i="3"/>
  <c r="K620" i="1"/>
  <c r="K80" i="1"/>
  <c r="K304" i="1"/>
  <c r="O312" i="7"/>
  <c r="L310" i="7"/>
  <c r="O310" i="7" s="1"/>
  <c r="L273" i="21"/>
  <c r="O273" i="21" s="1"/>
  <c r="O294" i="10"/>
  <c r="O333" i="10"/>
  <c r="N53" i="22"/>
  <c r="N37" i="22" s="1"/>
  <c r="K64" i="1"/>
  <c r="K631" i="1"/>
  <c r="O254" i="19"/>
  <c r="M310" i="19"/>
  <c r="P310" i="19" s="1"/>
  <c r="M310" i="15"/>
  <c r="P310" i="15" s="1"/>
  <c r="P220" i="7"/>
  <c r="L96" i="4"/>
  <c r="L94" i="4" s="1"/>
  <c r="O94" i="4" s="1"/>
  <c r="M22" i="1"/>
  <c r="I367" i="1"/>
  <c r="K367" i="1" s="1"/>
  <c r="O30" i="15"/>
  <c r="P329" i="11"/>
  <c r="P140" i="15"/>
  <c r="O220" i="13"/>
  <c r="P252" i="6"/>
  <c r="K111" i="1"/>
  <c r="N20" i="21"/>
  <c r="N18" i="21" s="1"/>
  <c r="L68" i="18"/>
  <c r="O68" i="18" s="1"/>
  <c r="N11" i="17"/>
  <c r="N9" i="17" s="1"/>
  <c r="P55" i="17"/>
  <c r="N11" i="16"/>
  <c r="N9" i="16" s="1"/>
  <c r="P68" i="11"/>
  <c r="L120" i="9"/>
  <c r="O120" i="9" s="1"/>
  <c r="N271" i="8"/>
  <c r="P271" i="8" s="1"/>
  <c r="P273" i="18"/>
  <c r="N26" i="1"/>
  <c r="N16" i="1" s="1"/>
  <c r="L14" i="15"/>
  <c r="O14" i="15" s="1"/>
  <c r="K626" i="1"/>
  <c r="L55" i="21"/>
  <c r="O55" i="21" s="1"/>
  <c r="L142" i="19"/>
  <c r="O142" i="19" s="1"/>
  <c r="L120" i="5"/>
  <c r="P96" i="2"/>
  <c r="P271" i="18"/>
  <c r="P55" i="13"/>
  <c r="N11" i="10"/>
  <c r="N9" i="10" s="1"/>
  <c r="O314" i="7"/>
  <c r="K267" i="1"/>
  <c r="O34" i="18"/>
  <c r="L96" i="19"/>
  <c r="O96" i="19" s="1"/>
  <c r="P142" i="11"/>
  <c r="L16" i="6"/>
  <c r="O16" i="6" s="1"/>
  <c r="K264" i="1"/>
  <c r="K285" i="1"/>
  <c r="N34" i="1"/>
  <c r="N14" i="1" s="1"/>
  <c r="P331" i="3"/>
  <c r="P22" i="16"/>
  <c r="O30" i="2"/>
  <c r="P250" i="3"/>
  <c r="O252" i="12"/>
  <c r="L250" i="12"/>
  <c r="O250" i="12" s="1"/>
  <c r="O68" i="11"/>
  <c r="L66" i="11"/>
  <c r="O66" i="11" s="1"/>
  <c r="O273" i="12"/>
  <c r="L271" i="12"/>
  <c r="O271" i="12" s="1"/>
  <c r="P331" i="20"/>
  <c r="M329" i="20"/>
  <c r="P329" i="20" s="1"/>
  <c r="O140" i="22"/>
  <c r="O26" i="15"/>
  <c r="M290" i="13"/>
  <c r="P290" i="13" s="1"/>
  <c r="P329" i="12"/>
  <c r="P22" i="15"/>
  <c r="P142" i="15"/>
  <c r="P26" i="13"/>
  <c r="O34" i="11"/>
  <c r="L142" i="11"/>
  <c r="O142" i="11" s="1"/>
  <c r="P331" i="5"/>
  <c r="L312" i="5"/>
  <c r="O312" i="5" s="1"/>
  <c r="M94" i="2"/>
  <c r="P94" i="2" s="1"/>
  <c r="L252" i="3"/>
  <c r="O252" i="3" s="1"/>
  <c r="O122" i="4"/>
  <c r="O32" i="6"/>
  <c r="O34" i="15"/>
  <c r="P222" i="13"/>
  <c r="K421" i="1"/>
  <c r="P331" i="11"/>
  <c r="O142" i="22"/>
  <c r="M271" i="20"/>
  <c r="P271" i="20" s="1"/>
  <c r="L22" i="19"/>
  <c r="L20" i="19" s="1"/>
  <c r="P68" i="17"/>
  <c r="O70" i="17"/>
  <c r="M331" i="15"/>
  <c r="P331" i="15" s="1"/>
  <c r="L55" i="13"/>
  <c r="L53" i="13" s="1"/>
  <c r="O53" i="13" s="1"/>
  <c r="O222" i="13"/>
  <c r="M20" i="11"/>
  <c r="M18" i="11" s="1"/>
  <c r="O254" i="12"/>
  <c r="P220" i="6"/>
  <c r="L11" i="6"/>
  <c r="O11" i="6" s="1"/>
  <c r="N11" i="6"/>
  <c r="N9" i="6" s="1"/>
  <c r="O70" i="11"/>
  <c r="P22" i="4"/>
  <c r="L94" i="3"/>
  <c r="O94" i="3" s="1"/>
  <c r="O98" i="17"/>
  <c r="L222" i="19"/>
  <c r="L220" i="19" s="1"/>
  <c r="O220" i="19" s="1"/>
  <c r="L273" i="15"/>
  <c r="O273" i="15" s="1"/>
  <c r="L222" i="5"/>
  <c r="O49" i="1"/>
  <c r="O331" i="8"/>
  <c r="P250" i="21"/>
  <c r="M118" i="20"/>
  <c r="P118" i="20" s="1"/>
  <c r="L312" i="19"/>
  <c r="P142" i="17"/>
  <c r="N28" i="17"/>
  <c r="P337" i="15"/>
  <c r="M118" i="12"/>
  <c r="P118" i="12" s="1"/>
  <c r="L11" i="12"/>
  <c r="L9" i="12" s="1"/>
  <c r="M140" i="8"/>
  <c r="P140" i="8" s="1"/>
  <c r="L142" i="4"/>
  <c r="L140" i="4" s="1"/>
  <c r="O140" i="4" s="1"/>
  <c r="O294" i="3"/>
  <c r="M12" i="4"/>
  <c r="M10" i="4" s="1"/>
  <c r="L29" i="6"/>
  <c r="O29" i="6" s="1"/>
  <c r="L34" i="1"/>
  <c r="L23" i="1"/>
  <c r="O23" i="1" s="1"/>
  <c r="O144" i="22"/>
  <c r="O30" i="13"/>
  <c r="N12" i="6"/>
  <c r="N10" i="6" s="1"/>
  <c r="P43" i="22"/>
  <c r="O292" i="22"/>
  <c r="O294" i="22"/>
  <c r="O32" i="15"/>
  <c r="P252" i="15"/>
  <c r="M310" i="10"/>
  <c r="P310" i="10" s="1"/>
  <c r="L290" i="6"/>
  <c r="O290" i="6" s="1"/>
  <c r="P55" i="5"/>
  <c r="N250" i="6"/>
  <c r="P250" i="6" s="1"/>
  <c r="O32" i="4"/>
  <c r="L22" i="3"/>
  <c r="L20" i="3" s="1"/>
  <c r="L55" i="2"/>
  <c r="O55" i="2" s="1"/>
  <c r="O32" i="2"/>
  <c r="L312" i="14"/>
  <c r="P331" i="12"/>
  <c r="L96" i="8"/>
  <c r="M94" i="17"/>
  <c r="P94" i="17" s="1"/>
  <c r="P140" i="16"/>
  <c r="O142" i="16"/>
  <c r="O122" i="15"/>
  <c r="L94" i="17"/>
  <c r="O94" i="17" s="1"/>
  <c r="P220" i="13"/>
  <c r="M12" i="16"/>
  <c r="P250" i="15"/>
  <c r="L29" i="12"/>
  <c r="O29" i="12" s="1"/>
  <c r="O144" i="10"/>
  <c r="L66" i="8"/>
  <c r="O66" i="8" s="1"/>
  <c r="P329" i="4"/>
  <c r="O70" i="8"/>
  <c r="P252" i="3"/>
  <c r="L31" i="1"/>
  <c r="O31" i="1" s="1"/>
  <c r="N11" i="21"/>
  <c r="N9" i="21" s="1"/>
  <c r="P142" i="16"/>
  <c r="L312" i="10"/>
  <c r="O70" i="15"/>
  <c r="N33" i="1"/>
  <c r="N13" i="1" s="1"/>
  <c r="M290" i="15"/>
  <c r="P290" i="15" s="1"/>
  <c r="P271" i="17"/>
  <c r="N12" i="21"/>
  <c r="N10" i="21" s="1"/>
  <c r="L331" i="21"/>
  <c r="L329" i="21" s="1"/>
  <c r="O329" i="21" s="1"/>
  <c r="O224" i="4"/>
  <c r="P312" i="2"/>
  <c r="O98" i="3"/>
  <c r="O34" i="5"/>
  <c r="P273" i="17"/>
  <c r="N31" i="1"/>
  <c r="N29" i="1" s="1"/>
  <c r="L271" i="17"/>
  <c r="O271" i="17" s="1"/>
  <c r="L53" i="6"/>
  <c r="O53" i="6" s="1"/>
  <c r="O220" i="18"/>
  <c r="P120" i="17"/>
  <c r="P142" i="20"/>
  <c r="N290" i="18"/>
  <c r="P290" i="18" s="1"/>
  <c r="P55" i="16"/>
  <c r="L250" i="20"/>
  <c r="O250" i="20" s="1"/>
  <c r="M66" i="17"/>
  <c r="P66" i="17" s="1"/>
  <c r="L53" i="7"/>
  <c r="O53" i="7" s="1"/>
  <c r="O34" i="7"/>
  <c r="O30" i="4"/>
  <c r="P310" i="18"/>
  <c r="N29" i="14"/>
  <c r="N28" i="14" s="1"/>
  <c r="N11" i="14"/>
  <c r="N9" i="14" s="1"/>
  <c r="N28" i="7"/>
  <c r="K372" i="1"/>
  <c r="M220" i="22"/>
  <c r="P220" i="22" s="1"/>
  <c r="P140" i="21"/>
  <c r="L120" i="22"/>
  <c r="O120" i="22" s="1"/>
  <c r="L220" i="21"/>
  <c r="O220" i="21" s="1"/>
  <c r="L22" i="18"/>
  <c r="O22" i="18" s="1"/>
  <c r="O222" i="18"/>
  <c r="O32" i="16"/>
  <c r="P252" i="2"/>
  <c r="P41" i="20"/>
  <c r="N12" i="17"/>
  <c r="N10" i="17" s="1"/>
  <c r="P271" i="19"/>
  <c r="O250" i="19"/>
  <c r="N30" i="16"/>
  <c r="O30" i="16" s="1"/>
  <c r="M118" i="5"/>
  <c r="P118" i="5" s="1"/>
  <c r="L142" i="5"/>
  <c r="O142" i="5" s="1"/>
  <c r="L14" i="19"/>
  <c r="O14" i="19" s="1"/>
  <c r="O294" i="13"/>
  <c r="L292" i="16"/>
  <c r="O294" i="16"/>
  <c r="P273" i="19"/>
  <c r="P298" i="2"/>
  <c r="M292" i="2"/>
  <c r="M292" i="1" s="1"/>
  <c r="M298" i="1"/>
  <c r="P298" i="1" s="1"/>
  <c r="L142" i="18"/>
  <c r="P329" i="14"/>
  <c r="O68" i="15"/>
  <c r="O224" i="11"/>
  <c r="L220" i="11"/>
  <c r="O220" i="11" s="1"/>
  <c r="O333" i="8"/>
  <c r="O329" i="6"/>
  <c r="M41" i="6"/>
  <c r="P41" i="6" s="1"/>
  <c r="L118" i="7"/>
  <c r="O118" i="7" s="1"/>
  <c r="P43" i="8"/>
  <c r="P26" i="6"/>
  <c r="O537" i="1"/>
  <c r="M331" i="16"/>
  <c r="P331" i="16" s="1"/>
  <c r="L43" i="18"/>
  <c r="L55" i="14"/>
  <c r="O55" i="14" s="1"/>
  <c r="O333" i="2"/>
  <c r="L55" i="3"/>
  <c r="L53" i="3" s="1"/>
  <c r="O53" i="3" s="1"/>
  <c r="N142" i="1"/>
  <c r="P55" i="11"/>
  <c r="O331" i="6"/>
  <c r="O122" i="12"/>
  <c r="L120" i="12"/>
  <c r="K324" i="1"/>
  <c r="O41" i="12"/>
  <c r="O34" i="21"/>
  <c r="O94" i="16"/>
  <c r="L55" i="16"/>
  <c r="L329" i="8"/>
  <c r="O329" i="8" s="1"/>
  <c r="L22" i="6"/>
  <c r="L20" i="6" s="1"/>
  <c r="O34" i="4"/>
  <c r="N271" i="15"/>
  <c r="P271" i="15" s="1"/>
  <c r="L222" i="8"/>
  <c r="M96" i="16"/>
  <c r="L120" i="21"/>
  <c r="O120" i="21" s="1"/>
  <c r="O96" i="16"/>
  <c r="L331" i="15"/>
  <c r="L329" i="15" s="1"/>
  <c r="O329" i="15" s="1"/>
  <c r="L118" i="15"/>
  <c r="O118" i="15" s="1"/>
  <c r="N37" i="7"/>
  <c r="P68" i="6"/>
  <c r="L273" i="4"/>
  <c r="O273" i="4" s="1"/>
  <c r="O331" i="2"/>
  <c r="M271" i="3"/>
  <c r="P271" i="3" s="1"/>
  <c r="N29" i="15"/>
  <c r="N28" i="15" s="1"/>
  <c r="O34" i="2"/>
  <c r="M26" i="21"/>
  <c r="M20" i="21" s="1"/>
  <c r="N37" i="21"/>
  <c r="M118" i="15"/>
  <c r="P118" i="15" s="1"/>
  <c r="P329" i="6"/>
  <c r="O298" i="1"/>
  <c r="N37" i="13"/>
  <c r="O24" i="19"/>
  <c r="N20" i="16"/>
  <c r="N18" i="16" s="1"/>
  <c r="O55" i="15"/>
  <c r="L312" i="11"/>
  <c r="P312" i="7"/>
  <c r="O275" i="22"/>
  <c r="L273" i="22"/>
  <c r="O292" i="13"/>
  <c r="L290" i="13"/>
  <c r="O290" i="13" s="1"/>
  <c r="O583" i="1"/>
  <c r="L33" i="1"/>
  <c r="O33" i="1" s="1"/>
  <c r="P22" i="2"/>
  <c r="P337" i="20"/>
  <c r="M26" i="20"/>
  <c r="M16" i="20" s="1"/>
  <c r="P337" i="22"/>
  <c r="M26" i="22"/>
  <c r="M16" i="22" s="1"/>
  <c r="P16" i="22" s="1"/>
  <c r="N11" i="19"/>
  <c r="N9" i="19" s="1"/>
  <c r="N29" i="19"/>
  <c r="N28" i="19" s="1"/>
  <c r="L29" i="2"/>
  <c r="O31" i="2"/>
  <c r="L11" i="2"/>
  <c r="O11" i="2" s="1"/>
  <c r="O32" i="8"/>
  <c r="L30" i="8"/>
  <c r="O30" i="8" s="1"/>
  <c r="L13" i="4"/>
  <c r="O13" i="4" s="1"/>
  <c r="N22" i="1"/>
  <c r="P49" i="5"/>
  <c r="M49" i="1"/>
  <c r="L66" i="22"/>
  <c r="O66" i="22" s="1"/>
  <c r="L68" i="21"/>
  <c r="L66" i="21" s="1"/>
  <c r="O66" i="21" s="1"/>
  <c r="O70" i="10"/>
  <c r="M66" i="7"/>
  <c r="P66" i="7" s="1"/>
  <c r="P43" i="16"/>
  <c r="P43" i="12"/>
  <c r="P26" i="8"/>
  <c r="N16" i="8"/>
  <c r="P16" i="8" s="1"/>
  <c r="N14" i="6"/>
  <c r="O31" i="5"/>
  <c r="L29" i="5"/>
  <c r="O29" i="5" s="1"/>
  <c r="L11" i="5"/>
  <c r="P120" i="2"/>
  <c r="L292" i="2"/>
  <c r="L294" i="1"/>
  <c r="O294" i="1" s="1"/>
  <c r="O294" i="2"/>
  <c r="L329" i="22"/>
  <c r="O329" i="22" s="1"/>
  <c r="P22" i="19"/>
  <c r="N20" i="17"/>
  <c r="N18" i="17" s="1"/>
  <c r="L14" i="10"/>
  <c r="O14" i="10" s="1"/>
  <c r="P331" i="6"/>
  <c r="M53" i="4"/>
  <c r="P53" i="4" s="1"/>
  <c r="L98" i="1"/>
  <c r="O98" i="1" s="1"/>
  <c r="L14" i="2"/>
  <c r="O14" i="2" s="1"/>
  <c r="O34" i="19"/>
  <c r="P53" i="19"/>
  <c r="L331" i="4"/>
  <c r="L333" i="1"/>
  <c r="O333" i="1" s="1"/>
  <c r="P55" i="2"/>
  <c r="N28" i="2"/>
  <c r="L292" i="4"/>
  <c r="O294" i="4"/>
  <c r="M66" i="22"/>
  <c r="P66" i="22" s="1"/>
  <c r="P43" i="20"/>
  <c r="P140" i="18"/>
  <c r="L250" i="16"/>
  <c r="O250" i="16" s="1"/>
  <c r="N37" i="17"/>
  <c r="L331" i="13"/>
  <c r="M43" i="5"/>
  <c r="P43" i="5" s="1"/>
  <c r="L254" i="1"/>
  <c r="O254" i="1" s="1"/>
  <c r="O439" i="1"/>
  <c r="L22" i="5"/>
  <c r="O22" i="5" s="1"/>
  <c r="O314" i="16"/>
  <c r="L312" i="16"/>
  <c r="O275" i="14"/>
  <c r="L273" i="14"/>
  <c r="P55" i="19"/>
  <c r="L55" i="8"/>
  <c r="O57" i="8"/>
  <c r="P49" i="10"/>
  <c r="M26" i="10"/>
  <c r="P118" i="2"/>
  <c r="N28" i="3"/>
  <c r="N29" i="8"/>
  <c r="N28" i="8" s="1"/>
  <c r="N11" i="8"/>
  <c r="N9" i="8" s="1"/>
  <c r="O224" i="2"/>
  <c r="L222" i="2"/>
  <c r="M310" i="21"/>
  <c r="P310" i="21" s="1"/>
  <c r="P22" i="22"/>
  <c r="N20" i="19"/>
  <c r="N18" i="19" s="1"/>
  <c r="L140" i="16"/>
  <c r="O140" i="16" s="1"/>
  <c r="N37" i="16"/>
  <c r="L13" i="12"/>
  <c r="O13" i="12" s="1"/>
  <c r="M271" i="11"/>
  <c r="P271" i="11" s="1"/>
  <c r="L329" i="7"/>
  <c r="O329" i="7" s="1"/>
  <c r="O98" i="15"/>
  <c r="L96" i="15"/>
  <c r="N11" i="4"/>
  <c r="N9" i="4" s="1"/>
  <c r="N29" i="4"/>
  <c r="N28" i="4" s="1"/>
  <c r="K376" i="1"/>
  <c r="P118" i="19"/>
  <c r="L29" i="22"/>
  <c r="O29" i="22" s="1"/>
  <c r="O31" i="22"/>
  <c r="O43" i="12"/>
  <c r="O352" i="1"/>
  <c r="L32" i="1"/>
  <c r="P43" i="21"/>
  <c r="M41" i="21"/>
  <c r="L43" i="22"/>
  <c r="O45" i="22"/>
  <c r="L22" i="22"/>
  <c r="M140" i="22"/>
  <c r="P140" i="22" s="1"/>
  <c r="N29" i="22"/>
  <c r="N28" i="22" s="1"/>
  <c r="N11" i="22"/>
  <c r="N9" i="22" s="1"/>
  <c r="O23" i="21"/>
  <c r="L13" i="21"/>
  <c r="O13" i="21" s="1"/>
  <c r="O57" i="20"/>
  <c r="L55" i="20"/>
  <c r="M9" i="20"/>
  <c r="P15" i="20"/>
  <c r="P74" i="18"/>
  <c r="M68" i="18"/>
  <c r="M68" i="1" s="1"/>
  <c r="M26" i="18"/>
  <c r="M20" i="18" s="1"/>
  <c r="M74" i="1"/>
  <c r="P30" i="18"/>
  <c r="M28" i="18"/>
  <c r="P28" i="18" s="1"/>
  <c r="L9" i="16"/>
  <c r="O11" i="16"/>
  <c r="O26" i="17"/>
  <c r="L16" i="17"/>
  <c r="O16" i="17" s="1"/>
  <c r="L29" i="16"/>
  <c r="O31" i="16"/>
  <c r="O41" i="14"/>
  <c r="N20" i="14"/>
  <c r="N18" i="14" s="1"/>
  <c r="N12" i="14"/>
  <c r="N10" i="14" s="1"/>
  <c r="O23" i="14"/>
  <c r="L13" i="14"/>
  <c r="O13" i="14" s="1"/>
  <c r="M271" i="13"/>
  <c r="P271" i="13" s="1"/>
  <c r="P273" i="13"/>
  <c r="P337" i="16"/>
  <c r="M337" i="1"/>
  <c r="P337" i="1" s="1"/>
  <c r="P120" i="14"/>
  <c r="M118" i="14"/>
  <c r="P118" i="14" s="1"/>
  <c r="N12" i="12"/>
  <c r="N20" i="12"/>
  <c r="N18" i="12" s="1"/>
  <c r="P22" i="12"/>
  <c r="M12" i="12"/>
  <c r="O43" i="14"/>
  <c r="P22" i="13"/>
  <c r="M12" i="13"/>
  <c r="M20" i="13"/>
  <c r="O26" i="11"/>
  <c r="L16" i="11"/>
  <c r="O16" i="11" s="1"/>
  <c r="M94" i="10"/>
  <c r="P94" i="10" s="1"/>
  <c r="P22" i="10"/>
  <c r="M12" i="10"/>
  <c r="N290" i="9"/>
  <c r="N292" i="1"/>
  <c r="P120" i="7"/>
  <c r="M118" i="7"/>
  <c r="P118" i="7" s="1"/>
  <c r="P252" i="7"/>
  <c r="M250" i="7"/>
  <c r="P250" i="7" s="1"/>
  <c r="N310" i="5"/>
  <c r="N310" i="1" s="1"/>
  <c r="N312" i="1"/>
  <c r="L30" i="5"/>
  <c r="O32" i="5"/>
  <c r="O26" i="5"/>
  <c r="L16" i="5"/>
  <c r="O16" i="5" s="1"/>
  <c r="M9" i="6"/>
  <c r="P11" i="6"/>
  <c r="O142" i="6"/>
  <c r="L140" i="6"/>
  <c r="O140" i="6" s="1"/>
  <c r="O70" i="4"/>
  <c r="L68" i="4"/>
  <c r="L22" i="4"/>
  <c r="L70" i="1"/>
  <c r="O70" i="1" s="1"/>
  <c r="O70" i="2"/>
  <c r="L68" i="2"/>
  <c r="M53" i="1"/>
  <c r="P120" i="3"/>
  <c r="M120" i="1"/>
  <c r="L11" i="3"/>
  <c r="L29" i="3"/>
  <c r="O31" i="3"/>
  <c r="O43" i="2"/>
  <c r="L41" i="2"/>
  <c r="P222" i="21"/>
  <c r="M220" i="21"/>
  <c r="P220" i="21" s="1"/>
  <c r="L14" i="22"/>
  <c r="O14" i="22" s="1"/>
  <c r="O24" i="22"/>
  <c r="L14" i="21"/>
  <c r="O14" i="21" s="1"/>
  <c r="O144" i="20"/>
  <c r="L142" i="20"/>
  <c r="O23" i="19"/>
  <c r="L13" i="19"/>
  <c r="O13" i="19" s="1"/>
  <c r="M53" i="18"/>
  <c r="P53" i="18" s="1"/>
  <c r="L29" i="18"/>
  <c r="O31" i="18"/>
  <c r="P331" i="18"/>
  <c r="M329" i="18"/>
  <c r="P329" i="18" s="1"/>
  <c r="L66" i="17"/>
  <c r="O66" i="17" s="1"/>
  <c r="P26" i="17"/>
  <c r="M16" i="17"/>
  <c r="P16" i="17" s="1"/>
  <c r="M28" i="14"/>
  <c r="P28" i="14" s="1"/>
  <c r="O98" i="14"/>
  <c r="L96" i="14"/>
  <c r="P19" i="15"/>
  <c r="M220" i="14"/>
  <c r="P220" i="14" s="1"/>
  <c r="P22" i="14"/>
  <c r="M12" i="14"/>
  <c r="M20" i="14"/>
  <c r="N12" i="13"/>
  <c r="N10" i="13" s="1"/>
  <c r="N8" i="13" s="1"/>
  <c r="N20" i="13"/>
  <c r="N18" i="13" s="1"/>
  <c r="L22" i="14"/>
  <c r="N12" i="11"/>
  <c r="N20" i="11"/>
  <c r="N18" i="11" s="1"/>
  <c r="O98" i="10"/>
  <c r="L96" i="10"/>
  <c r="L29" i="9"/>
  <c r="O31" i="9"/>
  <c r="L30" i="12"/>
  <c r="O30" i="12" s="1"/>
  <c r="O32" i="12"/>
  <c r="O23" i="9"/>
  <c r="L13" i="9"/>
  <c r="O13" i="9" s="1"/>
  <c r="P26" i="9"/>
  <c r="O45" i="8"/>
  <c r="L43" i="8"/>
  <c r="L22" i="8"/>
  <c r="O26" i="8"/>
  <c r="L16" i="8"/>
  <c r="P312" i="5"/>
  <c r="M312" i="1"/>
  <c r="M20" i="9"/>
  <c r="M18" i="9" s="1"/>
  <c r="M12" i="9"/>
  <c r="P22" i="9"/>
  <c r="P102" i="5"/>
  <c r="M26" i="5"/>
  <c r="M20" i="5" s="1"/>
  <c r="M102" i="1"/>
  <c r="P102" i="1" s="1"/>
  <c r="O252" i="9"/>
  <c r="L250" i="9"/>
  <c r="O250" i="9" s="1"/>
  <c r="L252" i="8"/>
  <c r="O254" i="8"/>
  <c r="M20" i="6"/>
  <c r="M12" i="6"/>
  <c r="P22" i="6"/>
  <c r="L13" i="5"/>
  <c r="O13" i="5" s="1"/>
  <c r="O33" i="5"/>
  <c r="O24" i="5"/>
  <c r="L14" i="5"/>
  <c r="O14" i="5" s="1"/>
  <c r="M220" i="3"/>
  <c r="P220" i="3" s="1"/>
  <c r="P222" i="3"/>
  <c r="O29" i="8"/>
  <c r="L14" i="4"/>
  <c r="O14" i="4" s="1"/>
  <c r="O24" i="4"/>
  <c r="O70" i="3"/>
  <c r="L68" i="3"/>
  <c r="L53" i="4"/>
  <c r="O53" i="4" s="1"/>
  <c r="O55" i="4"/>
  <c r="P68" i="2"/>
  <c r="M66" i="3"/>
  <c r="P66" i="3" s="1"/>
  <c r="P68" i="3"/>
  <c r="M118" i="3"/>
  <c r="M329" i="22"/>
  <c r="P329" i="22" s="1"/>
  <c r="P331" i="22"/>
  <c r="P19" i="22"/>
  <c r="M53" i="20"/>
  <c r="P55" i="20"/>
  <c r="L16" i="22"/>
  <c r="O16" i="22" s="1"/>
  <c r="O26" i="22"/>
  <c r="P120" i="21"/>
  <c r="M118" i="21"/>
  <c r="P118" i="21" s="1"/>
  <c r="P9" i="19"/>
  <c r="M9" i="18"/>
  <c r="P11" i="18"/>
  <c r="N37" i="19"/>
  <c r="O23" i="18"/>
  <c r="L13" i="18"/>
  <c r="O13" i="18" s="1"/>
  <c r="O26" i="18"/>
  <c r="L16" i="18"/>
  <c r="O16" i="18" s="1"/>
  <c r="P41" i="18"/>
  <c r="O275" i="16"/>
  <c r="L273" i="16"/>
  <c r="L312" i="15"/>
  <c r="O314" i="15"/>
  <c r="O275" i="13"/>
  <c r="L273" i="13"/>
  <c r="O24" i="14"/>
  <c r="L14" i="14"/>
  <c r="O14" i="14" s="1"/>
  <c r="L30" i="14"/>
  <c r="O30" i="14" s="1"/>
  <c r="O32" i="14"/>
  <c r="L16" i="13"/>
  <c r="O16" i="13" s="1"/>
  <c r="O26" i="13"/>
  <c r="L66" i="16"/>
  <c r="O66" i="16" s="1"/>
  <c r="P142" i="14"/>
  <c r="M140" i="14"/>
  <c r="P140" i="14" s="1"/>
  <c r="P55" i="12"/>
  <c r="M53" i="12"/>
  <c r="P53" i="12" s="1"/>
  <c r="P41" i="12"/>
  <c r="O224" i="12"/>
  <c r="L222" i="12"/>
  <c r="P102" i="12"/>
  <c r="M26" i="12"/>
  <c r="L30" i="11"/>
  <c r="O30" i="11" s="1"/>
  <c r="O32" i="11"/>
  <c r="P222" i="11"/>
  <c r="M220" i="11"/>
  <c r="P220" i="11" s="1"/>
  <c r="N66" i="10"/>
  <c r="N66" i="1" s="1"/>
  <c r="N68" i="1"/>
  <c r="O142" i="10"/>
  <c r="L140" i="10"/>
  <c r="O140" i="10" s="1"/>
  <c r="P252" i="13"/>
  <c r="M250" i="13"/>
  <c r="P250" i="13" s="1"/>
  <c r="N41" i="9"/>
  <c r="P273" i="9"/>
  <c r="M271" i="9"/>
  <c r="P271" i="9" s="1"/>
  <c r="L96" i="9"/>
  <c r="O98" i="9"/>
  <c r="O122" i="8"/>
  <c r="L120" i="8"/>
  <c r="P142" i="10"/>
  <c r="M140" i="10"/>
  <c r="P140" i="10" s="1"/>
  <c r="O43" i="9"/>
  <c r="L13" i="8"/>
  <c r="O13" i="8" s="1"/>
  <c r="O23" i="8"/>
  <c r="M9" i="7"/>
  <c r="P22" i="7"/>
  <c r="M12" i="7"/>
  <c r="M20" i="7"/>
  <c r="P120" i="9"/>
  <c r="M118" i="9"/>
  <c r="P118" i="9" s="1"/>
  <c r="O43" i="7"/>
  <c r="L41" i="7"/>
  <c r="P273" i="7"/>
  <c r="M271" i="7"/>
  <c r="P271" i="7" s="1"/>
  <c r="O273" i="6"/>
  <c r="P120" i="4"/>
  <c r="M118" i="4"/>
  <c r="P118" i="4" s="1"/>
  <c r="M53" i="6"/>
  <c r="P53" i="6" s="1"/>
  <c r="M53" i="5"/>
  <c r="P53" i="5" s="1"/>
  <c r="P273" i="4"/>
  <c r="M271" i="4"/>
  <c r="P271" i="4" s="1"/>
  <c r="P312" i="9"/>
  <c r="M310" i="9"/>
  <c r="P310" i="9" s="1"/>
  <c r="O98" i="6"/>
  <c r="L96" i="6"/>
  <c r="O220" i="4"/>
  <c r="O23" i="7"/>
  <c r="L13" i="7"/>
  <c r="O13" i="7" s="1"/>
  <c r="O252" i="6"/>
  <c r="L250" i="6"/>
  <c r="O122" i="3"/>
  <c r="L120" i="3"/>
  <c r="P250" i="2"/>
  <c r="M20" i="3"/>
  <c r="P22" i="3"/>
  <c r="M12" i="3"/>
  <c r="P29" i="2"/>
  <c r="M28" i="2"/>
  <c r="P28" i="2" s="1"/>
  <c r="M96" i="5"/>
  <c r="O19" i="1"/>
  <c r="L22" i="2"/>
  <c r="L314" i="1"/>
  <c r="O314" i="1" s="1"/>
  <c r="P273" i="22"/>
  <c r="M271" i="22"/>
  <c r="P271" i="22" s="1"/>
  <c r="O98" i="21"/>
  <c r="L96" i="21"/>
  <c r="P68" i="21"/>
  <c r="M66" i="21"/>
  <c r="P66" i="21" s="1"/>
  <c r="O11" i="22"/>
  <c r="L9" i="22"/>
  <c r="N16" i="20"/>
  <c r="N20" i="20"/>
  <c r="N18" i="20" s="1"/>
  <c r="L30" i="20"/>
  <c r="O30" i="20" s="1"/>
  <c r="O32" i="20"/>
  <c r="P26" i="19"/>
  <c r="M16" i="19"/>
  <c r="M20" i="19"/>
  <c r="O57" i="18"/>
  <c r="L55" i="18"/>
  <c r="L29" i="17"/>
  <c r="O31" i="17"/>
  <c r="O11" i="18"/>
  <c r="L9" i="18"/>
  <c r="M9" i="17"/>
  <c r="P11" i="17"/>
  <c r="O26" i="16"/>
  <c r="L16" i="16"/>
  <c r="O16" i="16" s="1"/>
  <c r="O45" i="17"/>
  <c r="L43" i="17"/>
  <c r="L22" i="17"/>
  <c r="M9" i="15"/>
  <c r="P11" i="15"/>
  <c r="L22" i="16"/>
  <c r="O45" i="16"/>
  <c r="L43" i="16"/>
  <c r="L29" i="13"/>
  <c r="L11" i="13"/>
  <c r="O31" i="13"/>
  <c r="P53" i="13"/>
  <c r="M53" i="10"/>
  <c r="P53" i="10" s="1"/>
  <c r="P55" i="10"/>
  <c r="N29" i="11"/>
  <c r="N28" i="11" s="1"/>
  <c r="N11" i="11"/>
  <c r="N9" i="11" s="1"/>
  <c r="L22" i="10"/>
  <c r="L43" i="10"/>
  <c r="O45" i="10"/>
  <c r="L30" i="10"/>
  <c r="O30" i="10" s="1"/>
  <c r="O32" i="10"/>
  <c r="O26" i="10"/>
  <c r="L16" i="10"/>
  <c r="O16" i="10" s="1"/>
  <c r="M9" i="12"/>
  <c r="O24" i="9"/>
  <c r="L14" i="9"/>
  <c r="O14" i="9" s="1"/>
  <c r="P273" i="6"/>
  <c r="M271" i="6"/>
  <c r="M66" i="5"/>
  <c r="P66" i="5" s="1"/>
  <c r="L329" i="10"/>
  <c r="O329" i="10" s="1"/>
  <c r="O31" i="7"/>
  <c r="L11" i="7"/>
  <c r="L29" i="7"/>
  <c r="L271" i="6"/>
  <c r="O224" i="7"/>
  <c r="L222" i="7"/>
  <c r="N20" i="2"/>
  <c r="N18" i="2" s="1"/>
  <c r="N12" i="2"/>
  <c r="P41" i="8"/>
  <c r="N16" i="4"/>
  <c r="P16" i="4" s="1"/>
  <c r="P26" i="4"/>
  <c r="L120" i="2"/>
  <c r="O122" i="2"/>
  <c r="L122" i="1"/>
  <c r="O122" i="1" s="1"/>
  <c r="M53" i="3"/>
  <c r="P55" i="3"/>
  <c r="P26" i="3"/>
  <c r="M16" i="3"/>
  <c r="P16" i="3" s="1"/>
  <c r="L45" i="1"/>
  <c r="P19" i="1"/>
  <c r="O34" i="22"/>
  <c r="O45" i="20"/>
  <c r="L43" i="20"/>
  <c r="L22" i="20"/>
  <c r="O26" i="20"/>
  <c r="L16" i="20"/>
  <c r="P252" i="19"/>
  <c r="P22" i="18"/>
  <c r="M12" i="18"/>
  <c r="M94" i="19"/>
  <c r="P94" i="19" s="1"/>
  <c r="P96" i="19"/>
  <c r="N20" i="18"/>
  <c r="N18" i="18" s="1"/>
  <c r="N12" i="18"/>
  <c r="N10" i="18" s="1"/>
  <c r="P222" i="18"/>
  <c r="M220" i="18"/>
  <c r="P220" i="18" s="1"/>
  <c r="M28" i="17"/>
  <c r="P28" i="17" s="1"/>
  <c r="P29" i="17"/>
  <c r="O292" i="18"/>
  <c r="L290" i="18"/>
  <c r="O23" i="17"/>
  <c r="L13" i="17"/>
  <c r="O13" i="17" s="1"/>
  <c r="L16" i="14"/>
  <c r="O16" i="14" s="1"/>
  <c r="O26" i="14"/>
  <c r="O23" i="16"/>
  <c r="L13" i="16"/>
  <c r="O13" i="16" s="1"/>
  <c r="P273" i="14"/>
  <c r="M271" i="14"/>
  <c r="P271" i="14" s="1"/>
  <c r="O19" i="14"/>
  <c r="L14" i="17"/>
  <c r="O14" i="17" s="1"/>
  <c r="L250" i="15"/>
  <c r="O250" i="15" s="1"/>
  <c r="M10" i="15"/>
  <c r="N16" i="12"/>
  <c r="O16" i="12" s="1"/>
  <c r="O26" i="12"/>
  <c r="P9" i="13"/>
  <c r="P252" i="12"/>
  <c r="M250" i="12"/>
  <c r="P250" i="12" s="1"/>
  <c r="P43" i="10"/>
  <c r="M41" i="10"/>
  <c r="O45" i="11"/>
  <c r="L43" i="11"/>
  <c r="L22" i="11"/>
  <c r="O23" i="10"/>
  <c r="L13" i="10"/>
  <c r="O13" i="10" s="1"/>
  <c r="M310" i="8"/>
  <c r="P310" i="8" s="1"/>
  <c r="P142" i="12"/>
  <c r="M140" i="12"/>
  <c r="P140" i="12" s="1"/>
  <c r="O122" i="11"/>
  <c r="L120" i="11"/>
  <c r="L290" i="10"/>
  <c r="O290" i="10" s="1"/>
  <c r="O292" i="10"/>
  <c r="M28" i="10"/>
  <c r="P28" i="10" s="1"/>
  <c r="P29" i="10"/>
  <c r="O68" i="10"/>
  <c r="L66" i="10"/>
  <c r="O66" i="10" s="1"/>
  <c r="N20" i="10"/>
  <c r="N18" i="10" s="1"/>
  <c r="N12" i="10"/>
  <c r="N10" i="10" s="1"/>
  <c r="N12" i="8"/>
  <c r="N20" i="8"/>
  <c r="N18" i="8" s="1"/>
  <c r="P43" i="7"/>
  <c r="M41" i="7"/>
  <c r="P29" i="11"/>
  <c r="M28" i="11"/>
  <c r="P28" i="11" s="1"/>
  <c r="O32" i="9"/>
  <c r="L30" i="9"/>
  <c r="O30" i="9" s="1"/>
  <c r="O19" i="9"/>
  <c r="P22" i="11"/>
  <c r="L22" i="9"/>
  <c r="M10" i="8"/>
  <c r="O24" i="7"/>
  <c r="L14" i="7"/>
  <c r="O14" i="7" s="1"/>
  <c r="P331" i="8"/>
  <c r="M329" i="8"/>
  <c r="P329" i="8" s="1"/>
  <c r="O222" i="4"/>
  <c r="N222" i="1"/>
  <c r="O98" i="7"/>
  <c r="L96" i="7"/>
  <c r="O254" i="5"/>
  <c r="L252" i="5"/>
  <c r="O120" i="4"/>
  <c r="L118" i="4"/>
  <c r="O118" i="4" s="1"/>
  <c r="O312" i="4"/>
  <c r="L310" i="4"/>
  <c r="O310" i="4" s="1"/>
  <c r="O43" i="5"/>
  <c r="P11" i="4"/>
  <c r="M9" i="4"/>
  <c r="O23" i="3"/>
  <c r="L13" i="3"/>
  <c r="O13" i="3" s="1"/>
  <c r="P222" i="2"/>
  <c r="M222" i="1"/>
  <c r="M220" i="2"/>
  <c r="O32" i="3"/>
  <c r="L30" i="3"/>
  <c r="O30" i="3" s="1"/>
  <c r="O24" i="3"/>
  <c r="L14" i="3"/>
  <c r="O15" i="2"/>
  <c r="O23" i="6"/>
  <c r="L13" i="6"/>
  <c r="O13" i="6" s="1"/>
  <c r="M66" i="2"/>
  <c r="P11" i="2"/>
  <c r="M9" i="2"/>
  <c r="O29" i="4"/>
  <c r="L28" i="4"/>
  <c r="O23" i="2"/>
  <c r="L13" i="2"/>
  <c r="O13" i="2" s="1"/>
  <c r="M66" i="4"/>
  <c r="P66" i="4" s="1"/>
  <c r="M9" i="1"/>
  <c r="P11" i="1"/>
  <c r="N20" i="22"/>
  <c r="N18" i="22" s="1"/>
  <c r="N12" i="22"/>
  <c r="P252" i="22"/>
  <c r="M250" i="22"/>
  <c r="P250" i="22" s="1"/>
  <c r="P29" i="21"/>
  <c r="M28" i="21"/>
  <c r="P28" i="21" s="1"/>
  <c r="L22" i="21"/>
  <c r="O45" i="21"/>
  <c r="L43" i="21"/>
  <c r="L30" i="21"/>
  <c r="O30" i="21" s="1"/>
  <c r="O32" i="21"/>
  <c r="O31" i="21"/>
  <c r="L29" i="21"/>
  <c r="L11" i="21"/>
  <c r="P55" i="21"/>
  <c r="M53" i="21"/>
  <c r="P53" i="21" s="1"/>
  <c r="O19" i="22"/>
  <c r="P292" i="20"/>
  <c r="M290" i="20"/>
  <c r="P290" i="20" s="1"/>
  <c r="P19" i="20"/>
  <c r="O11" i="19"/>
  <c r="L9" i="19"/>
  <c r="P331" i="19"/>
  <c r="M329" i="19"/>
  <c r="P329" i="19" s="1"/>
  <c r="M220" i="19"/>
  <c r="P220" i="19" s="1"/>
  <c r="P222" i="19"/>
  <c r="O252" i="19"/>
  <c r="O32" i="18"/>
  <c r="N30" i="18"/>
  <c r="O30" i="18" s="1"/>
  <c r="O19" i="18"/>
  <c r="L11" i="17"/>
  <c r="P222" i="17"/>
  <c r="M220" i="17"/>
  <c r="P220" i="17" s="1"/>
  <c r="O292" i="15"/>
  <c r="L290" i="15"/>
  <c r="O290" i="15" s="1"/>
  <c r="M41" i="13"/>
  <c r="P9" i="14"/>
  <c r="O31" i="14"/>
  <c r="L29" i="14"/>
  <c r="L11" i="14"/>
  <c r="P16" i="14"/>
  <c r="N118" i="12"/>
  <c r="N120" i="1"/>
  <c r="L14" i="16"/>
  <c r="O14" i="16" s="1"/>
  <c r="N29" i="12"/>
  <c r="N28" i="12" s="1"/>
  <c r="N11" i="12"/>
  <c r="N9" i="12" s="1"/>
  <c r="O19" i="12"/>
  <c r="M118" i="11"/>
  <c r="P118" i="11" s="1"/>
  <c r="P120" i="11"/>
  <c r="O45" i="15"/>
  <c r="L43" i="15"/>
  <c r="L22" i="15"/>
  <c r="O31" i="10"/>
  <c r="L29" i="10"/>
  <c r="L11" i="10"/>
  <c r="M220" i="10"/>
  <c r="P220" i="10" s="1"/>
  <c r="P222" i="10"/>
  <c r="L13" i="11"/>
  <c r="O13" i="11" s="1"/>
  <c r="O23" i="11"/>
  <c r="O29" i="11"/>
  <c r="L22" i="13"/>
  <c r="O45" i="13"/>
  <c r="L43" i="13"/>
  <c r="O312" i="8"/>
  <c r="L310" i="8"/>
  <c r="O310" i="8" s="1"/>
  <c r="P16" i="7"/>
  <c r="L11" i="9"/>
  <c r="P292" i="8"/>
  <c r="M290" i="8"/>
  <c r="P290" i="8" s="1"/>
  <c r="P22" i="8"/>
  <c r="N271" i="6"/>
  <c r="N273" i="1"/>
  <c r="P252" i="4"/>
  <c r="M252" i="1"/>
  <c r="O26" i="9"/>
  <c r="L16" i="9"/>
  <c r="O16" i="9" s="1"/>
  <c r="M9" i="8"/>
  <c r="P11" i="8"/>
  <c r="P26" i="7"/>
  <c r="N250" i="4"/>
  <c r="N252" i="1"/>
  <c r="N20" i="5"/>
  <c r="N18" i="5" s="1"/>
  <c r="N12" i="5"/>
  <c r="N10" i="5" s="1"/>
  <c r="P292" i="4"/>
  <c r="M290" i="4"/>
  <c r="P290" i="4" s="1"/>
  <c r="N29" i="5"/>
  <c r="N28" i="5" s="1"/>
  <c r="N11" i="5"/>
  <c r="N9" i="5" s="1"/>
  <c r="L222" i="6"/>
  <c r="O224" i="6"/>
  <c r="L224" i="1"/>
  <c r="O224" i="1" s="1"/>
  <c r="P331" i="2"/>
  <c r="N331" i="1"/>
  <c r="N329" i="2"/>
  <c r="P43" i="4"/>
  <c r="M41" i="4"/>
  <c r="M28" i="3"/>
  <c r="P28" i="3" s="1"/>
  <c r="P30" i="3"/>
  <c r="N16" i="2"/>
  <c r="O16" i="2" s="1"/>
  <c r="O26" i="2"/>
  <c r="O26" i="3"/>
  <c r="L16" i="3"/>
  <c r="O16" i="3" s="1"/>
  <c r="N94" i="1"/>
  <c r="O26" i="21"/>
  <c r="L16" i="21"/>
  <c r="O16" i="21" s="1"/>
  <c r="P22" i="21"/>
  <c r="M12" i="21"/>
  <c r="O32" i="22"/>
  <c r="L30" i="22"/>
  <c r="P30" i="20"/>
  <c r="M28" i="20"/>
  <c r="P28" i="20" s="1"/>
  <c r="P273" i="21"/>
  <c r="M271" i="21"/>
  <c r="P271" i="21" s="1"/>
  <c r="L14" i="20"/>
  <c r="O14" i="20" s="1"/>
  <c r="P41" i="16"/>
  <c r="P222" i="16"/>
  <c r="M220" i="16"/>
  <c r="P220" i="16" s="1"/>
  <c r="M9" i="16"/>
  <c r="P11" i="16"/>
  <c r="M271" i="16"/>
  <c r="P271" i="16" s="1"/>
  <c r="P26" i="15"/>
  <c r="N16" i="15"/>
  <c r="P16" i="15" s="1"/>
  <c r="M20" i="17"/>
  <c r="P22" i="17"/>
  <c r="M12" i="17"/>
  <c r="P252" i="14"/>
  <c r="M250" i="14"/>
  <c r="P250" i="14" s="1"/>
  <c r="N12" i="15"/>
  <c r="N20" i="15"/>
  <c r="P29" i="15"/>
  <c r="M28" i="15"/>
  <c r="P28" i="15" s="1"/>
  <c r="P26" i="14"/>
  <c r="P96" i="12"/>
  <c r="M94" i="12"/>
  <c r="P94" i="12" s="1"/>
  <c r="O23" i="15"/>
  <c r="L13" i="15"/>
  <c r="O13" i="15" s="1"/>
  <c r="L22" i="12"/>
  <c r="M250" i="9"/>
  <c r="P250" i="9" s="1"/>
  <c r="O34" i="14"/>
  <c r="P19" i="11"/>
  <c r="L142" i="8"/>
  <c r="O144" i="8"/>
  <c r="L144" i="1"/>
  <c r="O144" i="1" s="1"/>
  <c r="O23" i="13"/>
  <c r="L13" i="13"/>
  <c r="O13" i="13" s="1"/>
  <c r="P19" i="9"/>
  <c r="N20" i="7"/>
  <c r="N18" i="7" s="1"/>
  <c r="N12" i="7"/>
  <c r="N10" i="7" s="1"/>
  <c r="P220" i="4"/>
  <c r="M140" i="6"/>
  <c r="P140" i="6" s="1"/>
  <c r="P142" i="6"/>
  <c r="P142" i="4"/>
  <c r="M142" i="1"/>
  <c r="M66" i="6"/>
  <c r="P66" i="6" s="1"/>
  <c r="P29" i="8"/>
  <c r="M28" i="8"/>
  <c r="P28" i="8" s="1"/>
  <c r="M329" i="5"/>
  <c r="P329" i="5" s="1"/>
  <c r="O275" i="8"/>
  <c r="L273" i="8"/>
  <c r="L16" i="7"/>
  <c r="O16" i="7" s="1"/>
  <c r="O26" i="7"/>
  <c r="P312" i="6"/>
  <c r="M310" i="6"/>
  <c r="P310" i="6" s="1"/>
  <c r="P292" i="5"/>
  <c r="M290" i="5"/>
  <c r="P290" i="5" s="1"/>
  <c r="P222" i="4"/>
  <c r="O24" i="6"/>
  <c r="L14" i="6"/>
  <c r="N12" i="4"/>
  <c r="N20" i="4"/>
  <c r="N18" i="4" s="1"/>
  <c r="O34" i="3"/>
  <c r="N14" i="3"/>
  <c r="N41" i="3"/>
  <c r="P43" i="3"/>
  <c r="P43" i="2"/>
  <c r="M41" i="2"/>
  <c r="O26" i="4"/>
  <c r="L16" i="4"/>
  <c r="N96" i="1"/>
  <c r="P26" i="2"/>
  <c r="M41" i="22"/>
  <c r="L310" i="22"/>
  <c r="O310" i="22" s="1"/>
  <c r="O312" i="22"/>
  <c r="M94" i="21"/>
  <c r="P94" i="21" s="1"/>
  <c r="P22" i="20"/>
  <c r="M12" i="20"/>
  <c r="O23" i="20"/>
  <c r="L13" i="20"/>
  <c r="O13" i="20" s="1"/>
  <c r="O26" i="19"/>
  <c r="L16" i="19"/>
  <c r="O16" i="19" s="1"/>
  <c r="O273" i="19"/>
  <c r="L271" i="19"/>
  <c r="O271" i="19" s="1"/>
  <c r="O122" i="18"/>
  <c r="L120" i="18"/>
  <c r="L118" i="17"/>
  <c r="O118" i="17" s="1"/>
  <c r="L14" i="18"/>
  <c r="O14" i="18" s="1"/>
  <c r="M28" i="16"/>
  <c r="P28" i="16" s="1"/>
  <c r="P29" i="16"/>
  <c r="P43" i="14"/>
  <c r="M41" i="14"/>
  <c r="P331" i="17"/>
  <c r="M329" i="17"/>
  <c r="P329" i="17" s="1"/>
  <c r="P41" i="17"/>
  <c r="L329" i="14"/>
  <c r="O329" i="14" s="1"/>
  <c r="P222" i="15"/>
  <c r="M220" i="15"/>
  <c r="P220" i="15" s="1"/>
  <c r="O24" i="13"/>
  <c r="L14" i="13"/>
  <c r="O14" i="13" s="1"/>
  <c r="M140" i="9"/>
  <c r="P140" i="9" s="1"/>
  <c r="P273" i="10"/>
  <c r="M271" i="10"/>
  <c r="P271" i="10" s="1"/>
  <c r="M9" i="11"/>
  <c r="P11" i="11"/>
  <c r="O24" i="11"/>
  <c r="L14" i="11"/>
  <c r="O14" i="11" s="1"/>
  <c r="N29" i="9"/>
  <c r="N28" i="9" s="1"/>
  <c r="N11" i="9"/>
  <c r="N9" i="9" s="1"/>
  <c r="P26" i="11"/>
  <c r="O57" i="9"/>
  <c r="L55" i="9"/>
  <c r="L57" i="1"/>
  <c r="O19" i="7"/>
  <c r="M9" i="9"/>
  <c r="P11" i="9"/>
  <c r="N20" i="9"/>
  <c r="N18" i="9" s="1"/>
  <c r="N12" i="9"/>
  <c r="N10" i="9" s="1"/>
  <c r="O24" i="8"/>
  <c r="L14" i="8"/>
  <c r="O14" i="8" s="1"/>
  <c r="M310" i="5"/>
  <c r="L30" i="7"/>
  <c r="O30" i="7" s="1"/>
  <c r="O32" i="7"/>
  <c r="L22" i="7"/>
  <c r="P9" i="5"/>
  <c r="M53" i="7"/>
  <c r="P53" i="7" s="1"/>
  <c r="M94" i="4"/>
  <c r="P94" i="4" s="1"/>
  <c r="P96" i="4"/>
  <c r="P120" i="6"/>
  <c r="M118" i="6"/>
  <c r="P118" i="6" s="1"/>
  <c r="P22" i="5"/>
  <c r="M12" i="5"/>
  <c r="M140" i="4"/>
  <c r="P140" i="4" s="1"/>
  <c r="P19" i="6"/>
  <c r="P331" i="4"/>
  <c r="O41" i="5"/>
  <c r="P310" i="2"/>
  <c r="N20" i="3"/>
  <c r="N18" i="3" s="1"/>
  <c r="N12" i="3"/>
  <c r="N10" i="3" s="1"/>
  <c r="O275" i="3"/>
  <c r="L273" i="3"/>
  <c r="L275" i="1"/>
  <c r="O275" i="1" s="1"/>
  <c r="M271" i="2"/>
  <c r="M273" i="1"/>
  <c r="P273" i="2"/>
  <c r="P142" i="7"/>
  <c r="M140" i="7"/>
  <c r="P140" i="7" s="1"/>
  <c r="O222" i="9" l="1"/>
  <c r="O312" i="6"/>
  <c r="L41" i="3"/>
  <c r="O41" i="3" s="1"/>
  <c r="M329" i="21"/>
  <c r="P329" i="21" s="1"/>
  <c r="L271" i="11"/>
  <c r="O271" i="11" s="1"/>
  <c r="O331" i="16"/>
  <c r="L271" i="7"/>
  <c r="O271" i="7" s="1"/>
  <c r="O331" i="19"/>
  <c r="L250" i="10"/>
  <c r="O250" i="10" s="1"/>
  <c r="L329" i="18"/>
  <c r="O329" i="18" s="1"/>
  <c r="L118" i="14"/>
  <c r="O118" i="14" s="1"/>
  <c r="O331" i="11"/>
  <c r="N37" i="11"/>
  <c r="L310" i="20"/>
  <c r="O310" i="20" s="1"/>
  <c r="L250" i="18"/>
  <c r="O250" i="18" s="1"/>
  <c r="L66" i="19"/>
  <c r="O66" i="19" s="1"/>
  <c r="L329" i="5"/>
  <c r="O329" i="5" s="1"/>
  <c r="L271" i="20"/>
  <c r="O271" i="20" s="1"/>
  <c r="L140" i="7"/>
  <c r="O140" i="7" s="1"/>
  <c r="L250" i="4"/>
  <c r="O250" i="4" s="1"/>
  <c r="N140" i="1"/>
  <c r="N37" i="12"/>
  <c r="O11" i="8"/>
  <c r="M329" i="15"/>
  <c r="P329" i="15" s="1"/>
  <c r="O142" i="3"/>
  <c r="O55" i="13"/>
  <c r="L140" i="2"/>
  <c r="O140" i="2" s="1"/>
  <c r="L220" i="22"/>
  <c r="O220" i="22" s="1"/>
  <c r="O55" i="10"/>
  <c r="L271" i="10"/>
  <c r="O271" i="10" s="1"/>
  <c r="P12" i="19"/>
  <c r="L220" i="16"/>
  <c r="O220" i="16" s="1"/>
  <c r="L118" i="16"/>
  <c r="O118" i="16" s="1"/>
  <c r="O43" i="19"/>
  <c r="L250" i="7"/>
  <c r="O250" i="7" s="1"/>
  <c r="P12" i="16"/>
  <c r="M329" i="16"/>
  <c r="P329" i="16" s="1"/>
  <c r="P12" i="2"/>
  <c r="L66" i="20"/>
  <c r="O66" i="20" s="1"/>
  <c r="O252" i="2"/>
  <c r="O96" i="13"/>
  <c r="O252" i="11"/>
  <c r="L290" i="20"/>
  <c r="O290" i="20" s="1"/>
  <c r="L66" i="14"/>
  <c r="O66" i="14" s="1"/>
  <c r="M10" i="2"/>
  <c r="M8" i="2" s="1"/>
  <c r="O55" i="12"/>
  <c r="L118" i="6"/>
  <c r="O118" i="6" s="1"/>
  <c r="O312" i="2"/>
  <c r="O292" i="5"/>
  <c r="L329" i="12"/>
  <c r="O329" i="12" s="1"/>
  <c r="L310" i="13"/>
  <c r="O310" i="13" s="1"/>
  <c r="L28" i="15"/>
  <c r="O28" i="15" s="1"/>
  <c r="L290" i="11"/>
  <c r="O290" i="11" s="1"/>
  <c r="L250" i="13"/>
  <c r="O250" i="13" s="1"/>
  <c r="N8" i="18"/>
  <c r="L53" i="21"/>
  <c r="O53" i="21" s="1"/>
  <c r="L250" i="14"/>
  <c r="O250" i="14" s="1"/>
  <c r="M20" i="16"/>
  <c r="P20" i="16" s="1"/>
  <c r="O55" i="22"/>
  <c r="O96" i="2"/>
  <c r="O273" i="9"/>
  <c r="P55" i="1"/>
  <c r="P53" i="1"/>
  <c r="L9" i="4"/>
  <c r="O9" i="4" s="1"/>
  <c r="L66" i="12"/>
  <c r="O66" i="12" s="1"/>
  <c r="L118" i="20"/>
  <c r="O118" i="20" s="1"/>
  <c r="L310" i="21"/>
  <c r="O310" i="21" s="1"/>
  <c r="L250" i="17"/>
  <c r="O250" i="17" s="1"/>
  <c r="O331" i="3"/>
  <c r="O96" i="12"/>
  <c r="M16" i="16"/>
  <c r="P16" i="16" s="1"/>
  <c r="L140" i="14"/>
  <c r="O140" i="14" s="1"/>
  <c r="P20" i="6"/>
  <c r="L140" i="15"/>
  <c r="O140" i="15" s="1"/>
  <c r="O68" i="5"/>
  <c r="O220" i="20"/>
  <c r="L11" i="1"/>
  <c r="L9" i="1" s="1"/>
  <c r="P220" i="20"/>
  <c r="L290" i="9"/>
  <c r="O290" i="9" s="1"/>
  <c r="L94" i="22"/>
  <c r="O94" i="22" s="1"/>
  <c r="O222" i="20"/>
  <c r="L66" i="13"/>
  <c r="O66" i="13" s="1"/>
  <c r="O331" i="20"/>
  <c r="L140" i="9"/>
  <c r="O140" i="9" s="1"/>
  <c r="L290" i="17"/>
  <c r="O290" i="17" s="1"/>
  <c r="P26" i="20"/>
  <c r="O28" i="4"/>
  <c r="N220" i="1"/>
  <c r="L94" i="5"/>
  <c r="O94" i="5" s="1"/>
  <c r="L53" i="17"/>
  <c r="O53" i="17" s="1"/>
  <c r="O142" i="4"/>
  <c r="L290" i="19"/>
  <c r="O290" i="19" s="1"/>
  <c r="L271" i="18"/>
  <c r="O271" i="18" s="1"/>
  <c r="O55" i="11"/>
  <c r="O120" i="19"/>
  <c r="N37" i="14"/>
  <c r="L12" i="6"/>
  <c r="L10" i="6" s="1"/>
  <c r="O10" i="6" s="1"/>
  <c r="O331" i="15"/>
  <c r="O22" i="6"/>
  <c r="M41" i="5"/>
  <c r="P41" i="5" s="1"/>
  <c r="L94" i="11"/>
  <c r="O94" i="11" s="1"/>
  <c r="L310" i="9"/>
  <c r="O310" i="9" s="1"/>
  <c r="O43" i="6"/>
  <c r="L66" i="7"/>
  <c r="O66" i="7" s="1"/>
  <c r="L29" i="1"/>
  <c r="O29" i="1" s="1"/>
  <c r="L250" i="22"/>
  <c r="O250" i="22" s="1"/>
  <c r="N290" i="1"/>
  <c r="L271" i="21"/>
  <c r="O271" i="21" s="1"/>
  <c r="M331" i="1"/>
  <c r="P331" i="1" s="1"/>
  <c r="L140" i="21"/>
  <c r="O140" i="21" s="1"/>
  <c r="O290" i="18"/>
  <c r="L140" i="17"/>
  <c r="O140" i="17" s="1"/>
  <c r="N8" i="16"/>
  <c r="N37" i="18"/>
  <c r="L53" i="19"/>
  <c r="O53" i="19" s="1"/>
  <c r="O14" i="6"/>
  <c r="L28" i="19"/>
  <c r="O28" i="19" s="1"/>
  <c r="L290" i="7"/>
  <c r="O290" i="7" s="1"/>
  <c r="N8" i="17"/>
  <c r="L220" i="10"/>
  <c r="O220" i="10" s="1"/>
  <c r="O11" i="12"/>
  <c r="L53" i="2"/>
  <c r="O53" i="2" s="1"/>
  <c r="L118" i="13"/>
  <c r="O118" i="13" s="1"/>
  <c r="N37" i="15"/>
  <c r="L250" i="21"/>
  <c r="O250" i="21" s="1"/>
  <c r="N28" i="16"/>
  <c r="O26" i="1"/>
  <c r="L271" i="5"/>
  <c r="O271" i="5" s="1"/>
  <c r="L53" i="5"/>
  <c r="O53" i="5" s="1"/>
  <c r="P20" i="15"/>
  <c r="L329" i="17"/>
  <c r="O329" i="17" s="1"/>
  <c r="L12" i="3"/>
  <c r="O12" i="3" s="1"/>
  <c r="O68" i="6"/>
  <c r="O273" i="2"/>
  <c r="O22" i="3"/>
  <c r="L16" i="1"/>
  <c r="O16" i="1" s="1"/>
  <c r="L20" i="5"/>
  <c r="O20" i="5" s="1"/>
  <c r="N8" i="10"/>
  <c r="L310" i="3"/>
  <c r="O310" i="3" s="1"/>
  <c r="M96" i="1"/>
  <c r="P96" i="1" s="1"/>
  <c r="P18" i="4"/>
  <c r="P142" i="1"/>
  <c r="L41" i="4"/>
  <c r="O41" i="4" s="1"/>
  <c r="L66" i="9"/>
  <c r="O66" i="9" s="1"/>
  <c r="P292" i="1"/>
  <c r="L290" i="8"/>
  <c r="O290" i="8" s="1"/>
  <c r="L118" i="10"/>
  <c r="O118" i="10" s="1"/>
  <c r="L14" i="1"/>
  <c r="O14" i="1" s="1"/>
  <c r="N8" i="21"/>
  <c r="L9" i="11"/>
  <c r="O9" i="11" s="1"/>
  <c r="O292" i="14"/>
  <c r="N10" i="4"/>
  <c r="P10" i="4" s="1"/>
  <c r="N10" i="8"/>
  <c r="N8" i="8" s="1"/>
  <c r="N12" i="1"/>
  <c r="N10" i="1" s="1"/>
  <c r="P22" i="1"/>
  <c r="L66" i="18"/>
  <c r="O66" i="18" s="1"/>
  <c r="L220" i="14"/>
  <c r="O220" i="14" s="1"/>
  <c r="L94" i="20"/>
  <c r="O94" i="20" s="1"/>
  <c r="O96" i="20"/>
  <c r="N8" i="7"/>
  <c r="O11" i="15"/>
  <c r="L271" i="15"/>
  <c r="O271" i="15" s="1"/>
  <c r="L118" i="21"/>
  <c r="O118" i="21" s="1"/>
  <c r="L310" i="17"/>
  <c r="O310" i="17" s="1"/>
  <c r="N8" i="3"/>
  <c r="L118" i="22"/>
  <c r="O118" i="22" s="1"/>
  <c r="O292" i="12"/>
  <c r="L290" i="12"/>
  <c r="O290" i="12" s="1"/>
  <c r="L140" i="12"/>
  <c r="O140" i="12" s="1"/>
  <c r="O16" i="8"/>
  <c r="L310" i="18"/>
  <c r="O310" i="18" s="1"/>
  <c r="N28" i="1"/>
  <c r="N271" i="1"/>
  <c r="L28" i="11"/>
  <c r="O28" i="11" s="1"/>
  <c r="L9" i="6"/>
  <c r="O9" i="6" s="1"/>
  <c r="O16" i="20"/>
  <c r="L271" i="4"/>
  <c r="O271" i="4" s="1"/>
  <c r="O34" i="1"/>
  <c r="L12" i="5"/>
  <c r="L10" i="5" s="1"/>
  <c r="L53" i="14"/>
  <c r="O53" i="14" s="1"/>
  <c r="L140" i="5"/>
  <c r="O140" i="5" s="1"/>
  <c r="O68" i="21"/>
  <c r="L94" i="19"/>
  <c r="O94" i="19" s="1"/>
  <c r="L310" i="5"/>
  <c r="M12" i="1"/>
  <c r="O55" i="3"/>
  <c r="N37" i="8"/>
  <c r="L140" i="19"/>
  <c r="O140" i="19" s="1"/>
  <c r="N28" i="18"/>
  <c r="P312" i="1"/>
  <c r="O120" i="5"/>
  <c r="L118" i="5"/>
  <c r="O118" i="5" s="1"/>
  <c r="O96" i="4"/>
  <c r="N11" i="1"/>
  <c r="N9" i="1" s="1"/>
  <c r="L140" i="11"/>
  <c r="O140" i="11" s="1"/>
  <c r="O53" i="22"/>
  <c r="L12" i="19"/>
  <c r="L10" i="19" s="1"/>
  <c r="O10" i="19" s="1"/>
  <c r="O222" i="19"/>
  <c r="O22" i="19"/>
  <c r="P53" i="22"/>
  <c r="L118" i="9"/>
  <c r="O118" i="9" s="1"/>
  <c r="N8" i="6"/>
  <c r="O96" i="8"/>
  <c r="L94" i="8"/>
  <c r="O94" i="8" s="1"/>
  <c r="N20" i="1"/>
  <c r="N18" i="1" s="1"/>
  <c r="L28" i="6"/>
  <c r="O28" i="6" s="1"/>
  <c r="O222" i="5"/>
  <c r="L220" i="5"/>
  <c r="O220" i="5" s="1"/>
  <c r="L250" i="3"/>
  <c r="O250" i="3" s="1"/>
  <c r="L12" i="18"/>
  <c r="O12" i="18" s="1"/>
  <c r="M20" i="22"/>
  <c r="M18" i="22" s="1"/>
  <c r="P18" i="22" s="1"/>
  <c r="O312" i="14"/>
  <c r="L310" i="14"/>
  <c r="O310" i="14" s="1"/>
  <c r="O312" i="19"/>
  <c r="L310" i="19"/>
  <c r="O310" i="19" s="1"/>
  <c r="M37" i="17"/>
  <c r="P37" i="17" s="1"/>
  <c r="L331" i="1"/>
  <c r="O331" i="1" s="1"/>
  <c r="O331" i="21"/>
  <c r="O250" i="6"/>
  <c r="O16" i="4"/>
  <c r="N250" i="1"/>
  <c r="L28" i="8"/>
  <c r="O28" i="8" s="1"/>
  <c r="L310" i="10"/>
  <c r="O310" i="10" s="1"/>
  <c r="O312" i="10"/>
  <c r="N8" i="19"/>
  <c r="P20" i="11"/>
  <c r="N8" i="14"/>
  <c r="P26" i="22"/>
  <c r="N37" i="5"/>
  <c r="L96" i="1"/>
  <c r="O96" i="1" s="1"/>
  <c r="L142" i="1"/>
  <c r="O142" i="1" s="1"/>
  <c r="L20" i="18"/>
  <c r="L18" i="18" s="1"/>
  <c r="O18" i="18" s="1"/>
  <c r="M16" i="21"/>
  <c r="P16" i="21" s="1"/>
  <c r="P26" i="21"/>
  <c r="O120" i="12"/>
  <c r="L118" i="12"/>
  <c r="O118" i="12" s="1"/>
  <c r="M18" i="6"/>
  <c r="P18" i="6" s="1"/>
  <c r="P310" i="5"/>
  <c r="P20" i="2"/>
  <c r="O43" i="18"/>
  <c r="L41" i="18"/>
  <c r="O41" i="18" s="1"/>
  <c r="O55" i="16"/>
  <c r="L53" i="16"/>
  <c r="O53" i="16" s="1"/>
  <c r="O142" i="18"/>
  <c r="L140" i="18"/>
  <c r="O140" i="18" s="1"/>
  <c r="O292" i="16"/>
  <c r="L290" i="16"/>
  <c r="O290" i="16" s="1"/>
  <c r="M20" i="20"/>
  <c r="P20" i="20" s="1"/>
  <c r="P20" i="4"/>
  <c r="N10" i="15"/>
  <c r="N8" i="15" s="1"/>
  <c r="P18" i="2"/>
  <c r="M94" i="16"/>
  <c r="P94" i="16" s="1"/>
  <c r="P96" i="16"/>
  <c r="O222" i="8"/>
  <c r="L220" i="8"/>
  <c r="O220" i="8" s="1"/>
  <c r="P292" i="2"/>
  <c r="M290" i="2"/>
  <c r="M37" i="2" s="1"/>
  <c r="P26" i="10"/>
  <c r="M16" i="10"/>
  <c r="P16" i="10" s="1"/>
  <c r="O312" i="16"/>
  <c r="L310" i="16"/>
  <c r="O310" i="16" s="1"/>
  <c r="O292" i="4"/>
  <c r="L290" i="4"/>
  <c r="O290" i="4" s="1"/>
  <c r="O273" i="22"/>
  <c r="L271" i="22"/>
  <c r="O271" i="22" s="1"/>
  <c r="P273" i="1"/>
  <c r="N37" i="9"/>
  <c r="L292" i="1"/>
  <c r="O292" i="1" s="1"/>
  <c r="O222" i="2"/>
  <c r="L220" i="2"/>
  <c r="O220" i="2" s="1"/>
  <c r="O292" i="2"/>
  <c r="L290" i="2"/>
  <c r="O290" i="2" s="1"/>
  <c r="M10" i="22"/>
  <c r="M8" i="22" s="1"/>
  <c r="O29" i="2"/>
  <c r="L28" i="2"/>
  <c r="O28" i="2" s="1"/>
  <c r="P49" i="1"/>
  <c r="M43" i="1"/>
  <c r="M140" i="1"/>
  <c r="L312" i="1"/>
  <c r="O312" i="1" s="1"/>
  <c r="O32" i="1"/>
  <c r="L30" i="1"/>
  <c r="O30" i="1" s="1"/>
  <c r="L53" i="8"/>
  <c r="O53" i="8" s="1"/>
  <c r="O55" i="8"/>
  <c r="O331" i="4"/>
  <c r="L329" i="4"/>
  <c r="O329" i="4" s="1"/>
  <c r="O11" i="5"/>
  <c r="L9" i="5"/>
  <c r="O9" i="5" s="1"/>
  <c r="L273" i="1"/>
  <c r="O273" i="1" s="1"/>
  <c r="M310" i="1"/>
  <c r="P310" i="1" s="1"/>
  <c r="L9" i="2"/>
  <c r="O9" i="2" s="1"/>
  <c r="O312" i="11"/>
  <c r="L310" i="11"/>
  <c r="O310" i="11" s="1"/>
  <c r="N37" i="10"/>
  <c r="P222" i="1"/>
  <c r="O273" i="14"/>
  <c r="L271" i="14"/>
  <c r="O271" i="14" s="1"/>
  <c r="O331" i="13"/>
  <c r="L329" i="13"/>
  <c r="O329" i="13" s="1"/>
  <c r="M37" i="11"/>
  <c r="M20" i="10"/>
  <c r="P20" i="10" s="1"/>
  <c r="O96" i="15"/>
  <c r="L94" i="15"/>
  <c r="O94" i="15" s="1"/>
  <c r="L13" i="1"/>
  <c r="O13" i="1" s="1"/>
  <c r="O57" i="1"/>
  <c r="L55" i="1"/>
  <c r="P9" i="9"/>
  <c r="O55" i="9"/>
  <c r="L53" i="9"/>
  <c r="O30" i="22"/>
  <c r="L28" i="22"/>
  <c r="O28" i="22" s="1"/>
  <c r="L20" i="13"/>
  <c r="O22" i="13"/>
  <c r="L12" i="13"/>
  <c r="L28" i="10"/>
  <c r="O28" i="10" s="1"/>
  <c r="O29" i="10"/>
  <c r="O29" i="21"/>
  <c r="L28" i="21"/>
  <c r="O28" i="21" s="1"/>
  <c r="P12" i="8"/>
  <c r="P53" i="3"/>
  <c r="M37" i="3"/>
  <c r="N118" i="1"/>
  <c r="O22" i="2"/>
  <c r="L12" i="2"/>
  <c r="L20" i="2"/>
  <c r="P9" i="7"/>
  <c r="O16" i="15"/>
  <c r="L28" i="20"/>
  <c r="O28" i="20" s="1"/>
  <c r="O96" i="10"/>
  <c r="L94" i="10"/>
  <c r="O94" i="10" s="1"/>
  <c r="O22" i="14"/>
  <c r="L12" i="14"/>
  <c r="L20" i="14"/>
  <c r="O29" i="3"/>
  <c r="L28" i="3"/>
  <c r="O28" i="3" s="1"/>
  <c r="P12" i="4"/>
  <c r="N37" i="6"/>
  <c r="O22" i="7"/>
  <c r="L12" i="7"/>
  <c r="L20" i="7"/>
  <c r="P9" i="11"/>
  <c r="M8" i="11"/>
  <c r="O120" i="18"/>
  <c r="L118" i="18"/>
  <c r="O118" i="18" s="1"/>
  <c r="N37" i="3"/>
  <c r="P41" i="3"/>
  <c r="O222" i="6"/>
  <c r="L222" i="1"/>
  <c r="O222" i="1" s="1"/>
  <c r="L220" i="6"/>
  <c r="O11" i="14"/>
  <c r="L9" i="14"/>
  <c r="P9" i="4"/>
  <c r="M8" i="4"/>
  <c r="O120" i="11"/>
  <c r="L118" i="11"/>
  <c r="O118" i="11" s="1"/>
  <c r="L20" i="11"/>
  <c r="O22" i="11"/>
  <c r="L12" i="11"/>
  <c r="O43" i="10"/>
  <c r="L41" i="10"/>
  <c r="P9" i="15"/>
  <c r="M8" i="15"/>
  <c r="P9" i="17"/>
  <c r="O55" i="18"/>
  <c r="L53" i="18"/>
  <c r="P20" i="3"/>
  <c r="M18" i="3"/>
  <c r="P18" i="3" s="1"/>
  <c r="O96" i="9"/>
  <c r="L94" i="9"/>
  <c r="O94" i="9" s="1"/>
  <c r="P26" i="12"/>
  <c r="M16" i="12"/>
  <c r="P16" i="12" s="1"/>
  <c r="P26" i="5"/>
  <c r="M16" i="5"/>
  <c r="P16" i="5" s="1"/>
  <c r="O11" i="3"/>
  <c r="L9" i="3"/>
  <c r="M37" i="6"/>
  <c r="N37" i="4"/>
  <c r="P12" i="5"/>
  <c r="P12" i="21"/>
  <c r="N329" i="1"/>
  <c r="N37" i="2"/>
  <c r="O29" i="14"/>
  <c r="L28" i="14"/>
  <c r="O28" i="14" s="1"/>
  <c r="P9" i="1"/>
  <c r="L250" i="5"/>
  <c r="O250" i="5" s="1"/>
  <c r="O252" i="5"/>
  <c r="L20" i="9"/>
  <c r="L12" i="9"/>
  <c r="O22" i="9"/>
  <c r="P41" i="7"/>
  <c r="M37" i="7"/>
  <c r="P37" i="7" s="1"/>
  <c r="L41" i="11"/>
  <c r="O43" i="11"/>
  <c r="O22" i="10"/>
  <c r="L12" i="10"/>
  <c r="L20" i="10"/>
  <c r="L20" i="17"/>
  <c r="L12" i="17"/>
  <c r="O22" i="17"/>
  <c r="N10" i="20"/>
  <c r="N8" i="20" s="1"/>
  <c r="P16" i="20"/>
  <c r="M250" i="1"/>
  <c r="O312" i="15"/>
  <c r="L310" i="15"/>
  <c r="O310" i="15" s="1"/>
  <c r="P68" i="1"/>
  <c r="O252" i="8"/>
  <c r="L250" i="8"/>
  <c r="O250" i="8" s="1"/>
  <c r="L20" i="8"/>
  <c r="O22" i="8"/>
  <c r="L12" i="8"/>
  <c r="M37" i="9"/>
  <c r="M37" i="19"/>
  <c r="P37" i="19" s="1"/>
  <c r="P120" i="1"/>
  <c r="P329" i="2"/>
  <c r="M20" i="12"/>
  <c r="P9" i="20"/>
  <c r="L20" i="22"/>
  <c r="O22" i="22"/>
  <c r="L12" i="22"/>
  <c r="O273" i="3"/>
  <c r="L271" i="3"/>
  <c r="P41" i="14"/>
  <c r="M37" i="14"/>
  <c r="O22" i="12"/>
  <c r="L12" i="12"/>
  <c r="L20" i="12"/>
  <c r="M18" i="21"/>
  <c r="P18" i="21" s="1"/>
  <c r="P20" i="21"/>
  <c r="O11" i="9"/>
  <c r="L9" i="9"/>
  <c r="O22" i="15"/>
  <c r="L12" i="15"/>
  <c r="L20" i="15"/>
  <c r="O9" i="19"/>
  <c r="P9" i="2"/>
  <c r="P12" i="18"/>
  <c r="O22" i="20"/>
  <c r="L12" i="20"/>
  <c r="L20" i="20"/>
  <c r="L120" i="1"/>
  <c r="O120" i="1" s="1"/>
  <c r="O120" i="2"/>
  <c r="L118" i="2"/>
  <c r="P9" i="12"/>
  <c r="O43" i="16"/>
  <c r="L41" i="16"/>
  <c r="O43" i="17"/>
  <c r="L41" i="17"/>
  <c r="O9" i="18"/>
  <c r="P20" i="19"/>
  <c r="M18" i="19"/>
  <c r="P18" i="19" s="1"/>
  <c r="O9" i="22"/>
  <c r="O222" i="12"/>
  <c r="L220" i="12"/>
  <c r="O273" i="16"/>
  <c r="L271" i="16"/>
  <c r="O271" i="16" s="1"/>
  <c r="P118" i="3"/>
  <c r="M118" i="1"/>
  <c r="O43" i="8"/>
  <c r="L41" i="8"/>
  <c r="P41" i="9"/>
  <c r="P20" i="14"/>
  <c r="M18" i="14"/>
  <c r="P18" i="14" s="1"/>
  <c r="L94" i="14"/>
  <c r="O94" i="14" s="1"/>
  <c r="O96" i="14"/>
  <c r="O9" i="8"/>
  <c r="O30" i="5"/>
  <c r="L28" i="5"/>
  <c r="O28" i="5" s="1"/>
  <c r="P12" i="10"/>
  <c r="P12" i="12"/>
  <c r="M26" i="1"/>
  <c r="P74" i="1"/>
  <c r="L53" i="20"/>
  <c r="O53" i="20" s="1"/>
  <c r="O55" i="20"/>
  <c r="P20" i="5"/>
  <c r="M18" i="5"/>
  <c r="P18" i="5" s="1"/>
  <c r="N8" i="9"/>
  <c r="P41" i="2"/>
  <c r="O20" i="6"/>
  <c r="L18" i="6"/>
  <c r="O18" i="6" s="1"/>
  <c r="O9" i="12"/>
  <c r="P9" i="16"/>
  <c r="N8" i="5"/>
  <c r="P252" i="1"/>
  <c r="L41" i="15"/>
  <c r="O43" i="15"/>
  <c r="O43" i="21"/>
  <c r="L41" i="21"/>
  <c r="O14" i="3"/>
  <c r="P220" i="2"/>
  <c r="M220" i="1"/>
  <c r="P18" i="8"/>
  <c r="M37" i="10"/>
  <c r="P41" i="10"/>
  <c r="P12" i="15"/>
  <c r="O43" i="20"/>
  <c r="L41" i="20"/>
  <c r="N10" i="2"/>
  <c r="N8" i="2" s="1"/>
  <c r="O271" i="6"/>
  <c r="P271" i="6"/>
  <c r="L9" i="13"/>
  <c r="O11" i="13"/>
  <c r="M10" i="19"/>
  <c r="P16" i="19"/>
  <c r="P96" i="5"/>
  <c r="M94" i="5"/>
  <c r="P94" i="5" s="1"/>
  <c r="O120" i="3"/>
  <c r="L118" i="3"/>
  <c r="O118" i="3" s="1"/>
  <c r="O20" i="3"/>
  <c r="L18" i="3"/>
  <c r="O18" i="3" s="1"/>
  <c r="P12" i="6"/>
  <c r="M10" i="6"/>
  <c r="P10" i="6" s="1"/>
  <c r="P12" i="9"/>
  <c r="M10" i="9"/>
  <c r="P10" i="9" s="1"/>
  <c r="O41" i="9"/>
  <c r="M10" i="14"/>
  <c r="P12" i="14"/>
  <c r="O29" i="18"/>
  <c r="L28" i="18"/>
  <c r="O142" i="20"/>
  <c r="L140" i="20"/>
  <c r="O140" i="20" s="1"/>
  <c r="O41" i="2"/>
  <c r="O22" i="4"/>
  <c r="L12" i="4"/>
  <c r="L20" i="4"/>
  <c r="P9" i="6"/>
  <c r="P250" i="4"/>
  <c r="P20" i="13"/>
  <c r="M18" i="13"/>
  <c r="P18" i="13" s="1"/>
  <c r="O9" i="16"/>
  <c r="P26" i="18"/>
  <c r="M16" i="18"/>
  <c r="P16" i="18" s="1"/>
  <c r="O43" i="22"/>
  <c r="L41" i="22"/>
  <c r="O20" i="19"/>
  <c r="L18" i="19"/>
  <c r="O18" i="19" s="1"/>
  <c r="M10" i="20"/>
  <c r="P12" i="20"/>
  <c r="P18" i="9"/>
  <c r="P12" i="17"/>
  <c r="M10" i="17"/>
  <c r="P10" i="17" s="1"/>
  <c r="P66" i="2"/>
  <c r="O96" i="7"/>
  <c r="L94" i="7"/>
  <c r="O94" i="7" s="1"/>
  <c r="P20" i="18"/>
  <c r="M18" i="18"/>
  <c r="P18" i="18" s="1"/>
  <c r="O29" i="7"/>
  <c r="L28" i="7"/>
  <c r="O28" i="7" s="1"/>
  <c r="L28" i="13"/>
  <c r="O28" i="13" s="1"/>
  <c r="O29" i="13"/>
  <c r="L20" i="16"/>
  <c r="O22" i="16"/>
  <c r="L12" i="16"/>
  <c r="P20" i="7"/>
  <c r="M18" i="7"/>
  <c r="P18" i="7" s="1"/>
  <c r="M37" i="12"/>
  <c r="P9" i="18"/>
  <c r="O68" i="3"/>
  <c r="L66" i="3"/>
  <c r="O66" i="3" s="1"/>
  <c r="P20" i="9"/>
  <c r="O29" i="9"/>
  <c r="L28" i="9"/>
  <c r="O28" i="9" s="1"/>
  <c r="O250" i="2"/>
  <c r="O68" i="4"/>
  <c r="L66" i="4"/>
  <c r="O66" i="4" s="1"/>
  <c r="M10" i="13"/>
  <c r="P12" i="13"/>
  <c r="P68" i="18"/>
  <c r="M66" i="18"/>
  <c r="M66" i="1" s="1"/>
  <c r="P66" i="1" s="1"/>
  <c r="P41" i="22"/>
  <c r="M37" i="22"/>
  <c r="P37" i="22" s="1"/>
  <c r="O142" i="8"/>
  <c r="L140" i="8"/>
  <c r="O140" i="8" s="1"/>
  <c r="O43" i="13"/>
  <c r="L41" i="13"/>
  <c r="P41" i="13"/>
  <c r="M37" i="13"/>
  <c r="P37" i="13" s="1"/>
  <c r="L9" i="17"/>
  <c r="O11" i="17"/>
  <c r="L12" i="21"/>
  <c r="L20" i="21"/>
  <c r="O22" i="21"/>
  <c r="N18" i="15"/>
  <c r="P18" i="15" s="1"/>
  <c r="L43" i="1"/>
  <c r="O45" i="1"/>
  <c r="L22" i="1"/>
  <c r="M37" i="8"/>
  <c r="L9" i="7"/>
  <c r="O11" i="7"/>
  <c r="L28" i="17"/>
  <c r="O28" i="17" s="1"/>
  <c r="O29" i="17"/>
  <c r="O96" i="6"/>
  <c r="L94" i="6"/>
  <c r="M10" i="7"/>
  <c r="P10" i="7" s="1"/>
  <c r="P12" i="7"/>
  <c r="O120" i="8"/>
  <c r="L118" i="8"/>
  <c r="O118" i="8" s="1"/>
  <c r="O9" i="15"/>
  <c r="O273" i="13"/>
  <c r="L271" i="13"/>
  <c r="O271" i="13" s="1"/>
  <c r="L28" i="12"/>
  <c r="O28" i="12" s="1"/>
  <c r="L252" i="1"/>
  <c r="O252" i="1" s="1"/>
  <c r="N10" i="12"/>
  <c r="N8" i="12" s="1"/>
  <c r="L28" i="16"/>
  <c r="O29" i="16"/>
  <c r="P41" i="21"/>
  <c r="M37" i="21"/>
  <c r="P37" i="21" s="1"/>
  <c r="P271" i="2"/>
  <c r="M271" i="1"/>
  <c r="O273" i="8"/>
  <c r="L271" i="8"/>
  <c r="O271" i="8" s="1"/>
  <c r="P18" i="11"/>
  <c r="P20" i="17"/>
  <c r="M18" i="17"/>
  <c r="P18" i="17" s="1"/>
  <c r="P41" i="4"/>
  <c r="M37" i="4"/>
  <c r="P9" i="8"/>
  <c r="M8" i="8"/>
  <c r="O11" i="10"/>
  <c r="L9" i="10"/>
  <c r="O11" i="21"/>
  <c r="L9" i="21"/>
  <c r="N10" i="22"/>
  <c r="P12" i="22"/>
  <c r="O222" i="7"/>
  <c r="L220" i="7"/>
  <c r="O220" i="7" s="1"/>
  <c r="P20" i="8"/>
  <c r="O96" i="21"/>
  <c r="L94" i="21"/>
  <c r="O94" i="21" s="1"/>
  <c r="M10" i="3"/>
  <c r="P12" i="3"/>
  <c r="O41" i="7"/>
  <c r="P53" i="20"/>
  <c r="M37" i="20"/>
  <c r="P37" i="20" s="1"/>
  <c r="O329" i="2"/>
  <c r="N10" i="11"/>
  <c r="P10" i="11" s="1"/>
  <c r="P12" i="11"/>
  <c r="P16" i="2"/>
  <c r="O68" i="2"/>
  <c r="L68" i="1"/>
  <c r="O68" i="1" s="1"/>
  <c r="L66" i="2"/>
  <c r="P140" i="1" l="1"/>
  <c r="P37" i="11"/>
  <c r="P37" i="12"/>
  <c r="M37" i="15"/>
  <c r="P37" i="15" s="1"/>
  <c r="P12" i="1"/>
  <c r="M329" i="1"/>
  <c r="P329" i="1" s="1"/>
  <c r="O11" i="1"/>
  <c r="O12" i="19"/>
  <c r="O12" i="6"/>
  <c r="L18" i="5"/>
  <c r="O18" i="5" s="1"/>
  <c r="P8" i="8"/>
  <c r="P10" i="8"/>
  <c r="M18" i="16"/>
  <c r="P18" i="16" s="1"/>
  <c r="L10" i="3"/>
  <c r="O10" i="3" s="1"/>
  <c r="M10" i="16"/>
  <c r="P10" i="16" s="1"/>
  <c r="O28" i="16"/>
  <c r="P37" i="8"/>
  <c r="P37" i="14"/>
  <c r="P220" i="1"/>
  <c r="M10" i="12"/>
  <c r="M8" i="12" s="1"/>
  <c r="P8" i="12" s="1"/>
  <c r="N8" i="1"/>
  <c r="M18" i="20"/>
  <c r="P18" i="20" s="1"/>
  <c r="L10" i="18"/>
  <c r="O10" i="18" s="1"/>
  <c r="P271" i="1"/>
  <c r="P10" i="15"/>
  <c r="L37" i="19"/>
  <c r="O37" i="19" s="1"/>
  <c r="P8" i="15"/>
  <c r="M8" i="6"/>
  <c r="P8" i="6" s="1"/>
  <c r="O28" i="18"/>
  <c r="L310" i="1"/>
  <c r="O310" i="1" s="1"/>
  <c r="O12" i="5"/>
  <c r="P20" i="22"/>
  <c r="N8" i="4"/>
  <c r="P8" i="4" s="1"/>
  <c r="P37" i="10"/>
  <c r="M10" i="21"/>
  <c r="P10" i="21" s="1"/>
  <c r="P250" i="1"/>
  <c r="O310" i="5"/>
  <c r="M10" i="10"/>
  <c r="P10" i="10" s="1"/>
  <c r="L329" i="1"/>
  <c r="O329" i="1" s="1"/>
  <c r="M18" i="10"/>
  <c r="P18" i="10" s="1"/>
  <c r="O20" i="18"/>
  <c r="P37" i="9"/>
  <c r="P10" i="20"/>
  <c r="L37" i="5"/>
  <c r="O37" i="5" s="1"/>
  <c r="M37" i="16"/>
  <c r="P37" i="16" s="1"/>
  <c r="L37" i="2"/>
  <c r="O37" i="2" s="1"/>
  <c r="P10" i="22"/>
  <c r="L28" i="1"/>
  <c r="O28" i="1" s="1"/>
  <c r="P290" i="2"/>
  <c r="M290" i="1"/>
  <c r="P290" i="1" s="1"/>
  <c r="N37" i="1"/>
  <c r="N8" i="22"/>
  <c r="P8" i="22" s="1"/>
  <c r="P37" i="2"/>
  <c r="M8" i="9"/>
  <c r="P8" i="9" s="1"/>
  <c r="P8" i="2"/>
  <c r="P10" i="2"/>
  <c r="L8" i="19"/>
  <c r="O8" i="19" s="1"/>
  <c r="P37" i="3"/>
  <c r="P43" i="1"/>
  <c r="M41" i="1"/>
  <c r="P41" i="1" s="1"/>
  <c r="L94" i="1"/>
  <c r="O94" i="1" s="1"/>
  <c r="L290" i="1"/>
  <c r="O290" i="1" s="1"/>
  <c r="P37" i="6"/>
  <c r="O271" i="3"/>
  <c r="L271" i="1"/>
  <c r="O271" i="1" s="1"/>
  <c r="O43" i="1"/>
  <c r="L41" i="1"/>
  <c r="O41" i="20"/>
  <c r="L37" i="20"/>
  <c r="O37" i="20" s="1"/>
  <c r="O20" i="8"/>
  <c r="L18" i="8"/>
  <c r="O18" i="8" s="1"/>
  <c r="O41" i="10"/>
  <c r="L37" i="10"/>
  <c r="O37" i="10" s="1"/>
  <c r="O220" i="12"/>
  <c r="L37" i="12"/>
  <c r="O37" i="12" s="1"/>
  <c r="L10" i="10"/>
  <c r="O10" i="10" s="1"/>
  <c r="O12" i="10"/>
  <c r="P10" i="19"/>
  <c r="M8" i="19"/>
  <c r="P8" i="19" s="1"/>
  <c r="M16" i="1"/>
  <c r="P26" i="1"/>
  <c r="M20" i="1"/>
  <c r="L10" i="22"/>
  <c r="O12" i="22"/>
  <c r="O20" i="9"/>
  <c r="L18" i="9"/>
  <c r="O18" i="9" s="1"/>
  <c r="O20" i="14"/>
  <c r="L18" i="14"/>
  <c r="O18" i="14" s="1"/>
  <c r="O20" i="10"/>
  <c r="L18" i="10"/>
  <c r="O18" i="10" s="1"/>
  <c r="L18" i="11"/>
  <c r="O18" i="11" s="1"/>
  <c r="O20" i="11"/>
  <c r="O41" i="17"/>
  <c r="L37" i="17"/>
  <c r="O37" i="17" s="1"/>
  <c r="O12" i="9"/>
  <c r="L10" i="9"/>
  <c r="O10" i="9" s="1"/>
  <c r="O9" i="7"/>
  <c r="P10" i="13"/>
  <c r="M8" i="13"/>
  <c r="P8" i="13" s="1"/>
  <c r="O20" i="21"/>
  <c r="L18" i="21"/>
  <c r="O18" i="21" s="1"/>
  <c r="O12" i="16"/>
  <c r="L10" i="16"/>
  <c r="L18" i="4"/>
  <c r="O18" i="4" s="1"/>
  <c r="O20" i="4"/>
  <c r="O41" i="21"/>
  <c r="L37" i="21"/>
  <c r="O37" i="21" s="1"/>
  <c r="L37" i="14"/>
  <c r="O37" i="14" s="1"/>
  <c r="O41" i="8"/>
  <c r="L37" i="8"/>
  <c r="O37" i="8" s="1"/>
  <c r="O41" i="16"/>
  <c r="L37" i="16"/>
  <c r="O37" i="16" s="1"/>
  <c r="O20" i="20"/>
  <c r="L18" i="20"/>
  <c r="O18" i="20" s="1"/>
  <c r="O20" i="12"/>
  <c r="L18" i="12"/>
  <c r="O18" i="12" s="1"/>
  <c r="L8" i="6"/>
  <c r="O8" i="6" s="1"/>
  <c r="O53" i="18"/>
  <c r="L37" i="18"/>
  <c r="O37" i="18" s="1"/>
  <c r="L37" i="3"/>
  <c r="O37" i="3" s="1"/>
  <c r="O20" i="7"/>
  <c r="L18" i="7"/>
  <c r="O18" i="7" s="1"/>
  <c r="L10" i="14"/>
  <c r="O10" i="14" s="1"/>
  <c r="O12" i="14"/>
  <c r="M8" i="7"/>
  <c r="P8" i="7" s="1"/>
  <c r="O20" i="13"/>
  <c r="L18" i="13"/>
  <c r="O18" i="13" s="1"/>
  <c r="O41" i="13"/>
  <c r="L37" i="13"/>
  <c r="O37" i="13" s="1"/>
  <c r="P37" i="4"/>
  <c r="P10" i="3"/>
  <c r="M8" i="3"/>
  <c r="P8" i="3" s="1"/>
  <c r="O9" i="21"/>
  <c r="L10" i="21"/>
  <c r="O10" i="21" s="1"/>
  <c r="O12" i="21"/>
  <c r="L10" i="4"/>
  <c r="O12" i="4"/>
  <c r="O9" i="13"/>
  <c r="O12" i="20"/>
  <c r="L10" i="20"/>
  <c r="O20" i="15"/>
  <c r="L18" i="15"/>
  <c r="O18" i="15" s="1"/>
  <c r="L10" i="12"/>
  <c r="O12" i="12"/>
  <c r="O20" i="22"/>
  <c r="L18" i="22"/>
  <c r="O18" i="22" s="1"/>
  <c r="L10" i="7"/>
  <c r="O10" i="7" s="1"/>
  <c r="O12" i="7"/>
  <c r="O9" i="1"/>
  <c r="O118" i="2"/>
  <c r="L118" i="1"/>
  <c r="O118" i="1" s="1"/>
  <c r="O220" i="6"/>
  <c r="L220" i="1"/>
  <c r="O220" i="1" s="1"/>
  <c r="L250" i="1"/>
  <c r="O250" i="1" s="1"/>
  <c r="O20" i="16"/>
  <c r="L18" i="16"/>
  <c r="O18" i="16" s="1"/>
  <c r="P10" i="14"/>
  <c r="M8" i="14"/>
  <c r="P8" i="14" s="1"/>
  <c r="O10" i="5"/>
  <c r="L8" i="5"/>
  <c r="O8" i="5" s="1"/>
  <c r="P118" i="1"/>
  <c r="N8" i="11"/>
  <c r="P8" i="11" s="1"/>
  <c r="O12" i="15"/>
  <c r="L10" i="15"/>
  <c r="M8" i="20"/>
  <c r="P8" i="20" s="1"/>
  <c r="O41" i="11"/>
  <c r="L37" i="11"/>
  <c r="O37" i="11" s="1"/>
  <c r="M37" i="5"/>
  <c r="P37" i="5" s="1"/>
  <c r="M8" i="17"/>
  <c r="P8" i="17" s="1"/>
  <c r="M94" i="1"/>
  <c r="P94" i="1" s="1"/>
  <c r="O20" i="2"/>
  <c r="L18" i="2"/>
  <c r="O18" i="2" s="1"/>
  <c r="O55" i="1"/>
  <c r="L53" i="1"/>
  <c r="O53" i="1" s="1"/>
  <c r="O12" i="13"/>
  <c r="L10" i="13"/>
  <c r="O10" i="13" s="1"/>
  <c r="O94" i="6"/>
  <c r="L37" i="6"/>
  <c r="O37" i="6" s="1"/>
  <c r="O9" i="10"/>
  <c r="O22" i="1"/>
  <c r="L20" i="1"/>
  <c r="L12" i="1"/>
  <c r="O9" i="17"/>
  <c r="L37" i="22"/>
  <c r="O37" i="22" s="1"/>
  <c r="O41" i="22"/>
  <c r="O41" i="15"/>
  <c r="L37" i="15"/>
  <c r="O37" i="15" s="1"/>
  <c r="M10" i="18"/>
  <c r="O12" i="8"/>
  <c r="L10" i="8"/>
  <c r="L37" i="4"/>
  <c r="O37" i="4" s="1"/>
  <c r="O12" i="17"/>
  <c r="L10" i="17"/>
  <c r="O10" i="17" s="1"/>
  <c r="M10" i="5"/>
  <c r="O12" i="11"/>
  <c r="L10" i="11"/>
  <c r="L10" i="2"/>
  <c r="O12" i="2"/>
  <c r="O66" i="2"/>
  <c r="L66" i="1"/>
  <c r="O66" i="1" s="1"/>
  <c r="L37" i="7"/>
  <c r="O37" i="7" s="1"/>
  <c r="P66" i="18"/>
  <c r="M37" i="18"/>
  <c r="P37" i="18" s="1"/>
  <c r="O9" i="9"/>
  <c r="P20" i="12"/>
  <c r="M18" i="12"/>
  <c r="P18" i="12" s="1"/>
  <c r="O20" i="17"/>
  <c r="L18" i="17"/>
  <c r="O18" i="17" s="1"/>
  <c r="L140" i="1"/>
  <c r="O140" i="1" s="1"/>
  <c r="O9" i="3"/>
  <c r="O9" i="14"/>
  <c r="O53" i="9"/>
  <c r="L37" i="9"/>
  <c r="O37" i="9" s="1"/>
  <c r="L8" i="3" l="1"/>
  <c r="O8" i="3" s="1"/>
  <c r="M8" i="16"/>
  <c r="P8" i="16" s="1"/>
  <c r="P10" i="12"/>
  <c r="L8" i="18"/>
  <c r="O8" i="18" s="1"/>
  <c r="L8" i="10"/>
  <c r="O8" i="10" s="1"/>
  <c r="M8" i="21"/>
  <c r="P8" i="21" s="1"/>
  <c r="M8" i="10"/>
  <c r="P8" i="10" s="1"/>
  <c r="L8" i="14"/>
  <c r="O8" i="14" s="1"/>
  <c r="L8" i="9"/>
  <c r="O8" i="9" s="1"/>
  <c r="L8" i="13"/>
  <c r="O8" i="13" s="1"/>
  <c r="O10" i="12"/>
  <c r="L8" i="12"/>
  <c r="O8" i="12" s="1"/>
  <c r="O10" i="4"/>
  <c r="L8" i="4"/>
  <c r="O8" i="4" s="1"/>
  <c r="M37" i="1"/>
  <c r="P37" i="1" s="1"/>
  <c r="O10" i="8"/>
  <c r="L8" i="8"/>
  <c r="O8" i="8" s="1"/>
  <c r="O10" i="15"/>
  <c r="L8" i="15"/>
  <c r="O8" i="15" s="1"/>
  <c r="O10" i="2"/>
  <c r="L8" i="2"/>
  <c r="O8" i="2" s="1"/>
  <c r="O10" i="11"/>
  <c r="L8" i="11"/>
  <c r="O8" i="11" s="1"/>
  <c r="P10" i="18"/>
  <c r="M8" i="18"/>
  <c r="P8" i="18" s="1"/>
  <c r="L8" i="17"/>
  <c r="O8" i="17" s="1"/>
  <c r="O10" i="20"/>
  <c r="L8" i="20"/>
  <c r="O8" i="20" s="1"/>
  <c r="L8" i="7"/>
  <c r="O8" i="7" s="1"/>
  <c r="L8" i="21"/>
  <c r="O8" i="21" s="1"/>
  <c r="O10" i="16"/>
  <c r="L8" i="16"/>
  <c r="O8" i="16" s="1"/>
  <c r="O10" i="22"/>
  <c r="L8" i="22"/>
  <c r="O8" i="22" s="1"/>
  <c r="O41" i="1"/>
  <c r="L37" i="1"/>
  <c r="O37" i="1" s="1"/>
  <c r="P10" i="5"/>
  <c r="M8" i="5"/>
  <c r="P8" i="5" s="1"/>
  <c r="P20" i="1"/>
  <c r="M18" i="1"/>
  <c r="P18" i="1" s="1"/>
  <c r="O12" i="1"/>
  <c r="L10" i="1"/>
  <c r="O20" i="1"/>
  <c r="L18" i="1"/>
  <c r="O18" i="1" s="1"/>
  <c r="P16" i="1"/>
  <c r="M10" i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<sst xmlns="http://schemas.openxmlformats.org/spreadsheetml/2006/main" count="27500" uniqueCount="281">
  <si>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</si>
  <si>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</si>
  <si>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</si>
  <si>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</si>
  <si>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</si>
  <si>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</si>
  <si>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</si>
  <si>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</si>
  <si>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</si>
  <si>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</si>
  <si>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</si>
  <si>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</si>
  <si>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</si>
  <si>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</si>
  <si>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</si>
  <si>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</si>
  <si>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</si>
  <si>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</si>
  <si>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</si>
  <si>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</si>
  <si>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</si>
  <si>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</si>
  <si>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</si>
  <si>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</si>
  <si>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</si>
  <si>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</si>
  <si>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</si>
  <si>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</si>
  <si>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</si>
  <si>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</si>
  <si>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</si>
  <si>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</si>
  <si>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</si>
  <si>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</si>
  <si>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</si>
  <si>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</si>
  <si>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</si>
  <si>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</si>
  <si>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</si>
  <si>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</si>
  <si>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</si>
  <si>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</si>
  <si>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</si>
  <si>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</si>
  <si>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</si>
  <si>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</si>
  <si>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</si>
  <si>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</si>
  <si>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</si>
  <si>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</si>
  <si>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</si>
  <si>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</si>
  <si>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</si>
  <si>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</si>
  <si>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</si>
  <si>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</si>
  <si>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</si>
  <si>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</si>
  <si>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</si>
  <si>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</si>
  <si>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</si>
  <si>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</si>
  <si>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</si>
  <si>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</si>
  <si>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</si>
  <si>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</si>
  <si>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</si>
  <si>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</si>
  <si>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</si>
  <si>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</si>
  <si>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</si>
  <si>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</si>
  <si>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</si>
  <si>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</si>
  <si>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</si>
  <si>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</si>
  <si>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</si>
  <si>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</si>
  <si>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</si>
  <si>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</si>
  <si>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</si>
  <si>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</si>
  <si>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</si>
  <si>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</si>
  <si>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</si>
  <si>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</si>
  <si>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</si>
  <si>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</si>
  <si>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</si>
  <si>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</si>
  <si>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</si>
  <si>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</si>
  <si>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</si>
  <si>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</si>
  <si>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</si>
  <si>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</si>
  <si>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</si>
  <si>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</si>
  <si>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</si>
  <si>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</si>
  <si>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</si>
  <si>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</si>
  <si>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</si>
  <si>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</si>
  <si>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</si>
  <si>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</si>
  <si>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</si>
  <si>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</si>
  <si>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</si>
  <si>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</si>
  <si>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</si>
  <si>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</si>
  <si>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</si>
  <si>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</si>
  <si>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</si>
  <si>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</si>
  <si>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</si>
  <si>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</si>
  <si>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</si>
  <si>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</si>
  <si>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</si>
  <si>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</si>
  <si>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</si>
  <si>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</si>
  <si>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</si>
  <si>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</si>
  <si>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</si>
  <si>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</si>
  <si>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</si>
  <si>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</si>
  <si>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</si>
  <si>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</si>
  <si>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</si>
  <si>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</si>
  <si>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</si>
  <si>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</si>
  <si>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</si>
  <si>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</si>
  <si>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</si>
  <si>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</si>
  <si>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</si>
  <si>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</si>
  <si>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</si>
  <si>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</si>
  <si>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</si>
  <si>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</si>
  <si>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</si>
  <si>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</si>
  <si>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</si>
  <si>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</si>
  <si>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</si>
  <si>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</si>
  <si>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</si>
  <si>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</si>
  <si>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</si>
  <si>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</si>
  <si>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</si>
  <si>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</si>
  <si>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</si>
  <si>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</si>
  <si>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</si>
  <si>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</si>
  <si>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</si>
  <si>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</si>
  <si>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</si>
  <si>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</si>
  <si>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</si>
  <si>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</si>
  <si>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</si>
  <si>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</si>
  <si>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</si>
  <si>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</si>
  <si>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</si>
  <si>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</si>
  <si>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</si>
  <si>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</si>
  <si>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</si>
  <si>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</si>
  <si>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</si>
  <si>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</si>
  <si>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</si>
  <si>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</si>
  <si>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</si>
  <si>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</si>
  <si>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</si>
  <si>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</si>
  <si>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</si>
  <si>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</si>
  <si>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</si>
  <si>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</si>
  <si>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</si>
  <si>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</si>
  <si>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</si>
  <si>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</si>
  <si>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</si>
  <si>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</si>
  <si>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</si>
  <si>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</si>
  <si>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</si>
  <si>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</si>
  <si>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</si>
  <si>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</si>
  <si>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</si>
  <si>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</si>
  <si>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</si>
  <si>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</si>
  <si>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</si>
  <si>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</si>
  <si>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</si>
  <si>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</si>
  <si>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</si>
  <si>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</si>
  <si>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</si>
  <si>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</si>
  <si>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</si>
  <si>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</si>
  <si>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</si>
  <si>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</si>
  <si>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</si>
  <si>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</si>
  <si>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</si>
  <si>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</si>
  <si>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</si>
  <si>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</si>
  <si>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</si>
  <si>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</si>
  <si>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</si>
  <si>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</si>
  <si>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</si>
  <si>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</si>
  <si>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</si>
  <si>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</si>
  <si>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</si>
  <si>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</si>
  <si>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</si>
  <si>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</si>
  <si>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</si>
  <si>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</si>
  <si>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</si>
  <si>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</si>
  <si>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</si>
  <si>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</si>
  <si>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</si>
  <si>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</si>
  <si>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</si>
  <si>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</si>
  <si>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</si>
  <si>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</si>
  <si>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</si>
  <si>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</si>
  <si>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</si>
  <si>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</si>
  <si>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</si>
  <si>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</si>
  <si>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</si>
  <si>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</si>
  <si>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</si>
  <si>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</si>
  <si>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</si>
  <si>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</si>
  <si>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</si>
  <si>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</si>
  <si>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</si>
  <si>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</si>
  <si>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</si>
  <si>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</si>
  <si>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</si>
  <si>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</si>
  <si>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</si>
  <si>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</si>
  <si>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</si>
  <si>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</si>
  <si>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</si>
  <si>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</si>
  <si>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</si>
  <si>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</si>
  <si>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</si>
  <si>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</si>
  <si>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</si>
  <si>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</si>
  <si>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มีนาคม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</si>
</sst>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6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8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0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2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80" zoomScaleNormal="100" zoomScaleSheetLayoutView="80" workbookViewId="0">
      <pane ySplit="6" topLeftCell="A420" activePane="bottomLeft" state="frozen"/>
      <selection activeCell="J4" sqref="J4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7109375" bestFit="1" customWidth="1"/>
    <col min="10" max="10" width="15.85546875" customWidth="1"/>
    <col min="11" max="11" width="11.28515625" bestFit="1" customWidth="1"/>
    <col min="12" max="14" width="19.4257812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1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ca="1">L9+L10</f>
        <v>93918498</v>
      </c>
      <c r="M8" s="23">
        <f ca="1">M9+M10</f>
        <v>41545587</v>
      </c>
      <c r="N8" s="23">
        <f ca="1">N9+N10</f>
        <v>36155767.310000002</v>
      </c>
      <c r="O8" s="22">
        <f t="shared" ref="O8:O16" ca="1" si="0">IF(L8&gt;0,N8*100/L8,0)</f>
        <v>38.496960747817752</v>
      </c>
      <c r="P8" s="22">
        <f t="shared" ref="P8:P16" ca="1" si="1">IF(M8&gt;0,N8*100/M8,0)</f>
        <v>87.026733573411775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93918498</v>
      </c>
      <c r="M10" s="30">
        <f t="shared" ca="1" si="2"/>
        <v>41545587</v>
      </c>
      <c r="N10" s="30">
        <f t="shared" ca="1" si="2"/>
        <v>36155767.310000002</v>
      </c>
      <c r="O10" s="29">
        <f t="shared" ca="1" si="0"/>
        <v>38.496960747817752</v>
      </c>
      <c r="P10" s="29">
        <f t="shared" ca="1" si="1"/>
        <v>87.026733573411775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83174048</v>
      </c>
      <c r="M12" s="38">
        <f t="shared" ca="1" si="3"/>
        <v>30801137</v>
      </c>
      <c r="N12" s="38">
        <f t="shared" ca="1" si="3"/>
        <v>31726517.310000002</v>
      </c>
      <c r="O12" s="38">
        <f t="shared" ca="1" si="0"/>
        <v>38.144731527314867</v>
      </c>
      <c r="P12" s="38">
        <f t="shared" ca="1" si="1"/>
        <v>103.00437061787687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46503548</v>
      </c>
      <c r="M14" s="38">
        <f t="shared" si="3"/>
        <v>0</v>
      </c>
      <c r="N14" s="38">
        <f t="shared" ca="1" si="3"/>
        <v>7392851.3100000005</v>
      </c>
      <c r="O14" s="38">
        <f t="shared" ca="1" si="0"/>
        <v>15.897391979639918</v>
      </c>
      <c r="P14" s="38">
        <f t="shared" si="1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10744450</v>
      </c>
      <c r="M16" s="38">
        <f t="shared" ca="1" si="3"/>
        <v>10744450</v>
      </c>
      <c r="N16" s="38">
        <f t="shared" ca="1" si="3"/>
        <v>4429250</v>
      </c>
      <c r="O16" s="49">
        <f t="shared" ca="1" si="0"/>
        <v>41.223608467627471</v>
      </c>
      <c r="P16" s="49">
        <f t="shared" ca="1" si="1"/>
        <v>41.223608467627471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ca="1">L19+L20</f>
        <v>66225780</v>
      </c>
      <c r="M18" s="23">
        <f ca="1">M19+M20</f>
        <v>41545587</v>
      </c>
      <c r="N18" s="23">
        <f ca="1">N19+N20</f>
        <v>28762916</v>
      </c>
      <c r="O18" s="22">
        <f t="shared" ref="O18:O26" ca="1" si="4">IF(L18&gt;0,N18*100/L18,0)</f>
        <v>43.431600201613328</v>
      </c>
      <c r="P18" s="22">
        <f t="shared" ref="P18:P26" ca="1" si="5">IF(M18&gt;0,N18*100/M18,0)</f>
        <v>69.232181025628549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66225780</v>
      </c>
      <c r="M20" s="30">
        <f t="shared" ca="1" si="6"/>
        <v>41545587</v>
      </c>
      <c r="N20" s="30">
        <f t="shared" ca="1" si="6"/>
        <v>28762916</v>
      </c>
      <c r="O20" s="29">
        <f t="shared" ca="1" si="4"/>
        <v>43.431600201613328</v>
      </c>
      <c r="P20" s="29">
        <f t="shared" ca="1" si="5"/>
        <v>69.232181025628549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55481330</v>
      </c>
      <c r="M22" s="41">
        <f t="shared" ca="1" si="7"/>
        <v>30801137</v>
      </c>
      <c r="N22" s="38">
        <f t="shared" ca="1" si="7"/>
        <v>24333666</v>
      </c>
      <c r="O22" s="38">
        <f t="shared" ca="1" si="4"/>
        <v>43.859197319170249</v>
      </c>
      <c r="P22" s="38">
        <f t="shared" ca="1" si="5"/>
        <v>79.002492667721981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18810830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10744450</v>
      </c>
      <c r="M26" s="49">
        <f t="shared" ca="1" si="7"/>
        <v>10744450</v>
      </c>
      <c r="N26" s="49">
        <f t="shared" ca="1" si="7"/>
        <v>4429250</v>
      </c>
      <c r="O26" s="49">
        <f t="shared" ca="1" si="4"/>
        <v>41.223608467627471</v>
      </c>
      <c r="P26" s="49">
        <f t="shared" ca="1" si="5"/>
        <v>41.223608467627471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ca="1">L29+L30</f>
        <v>27692718</v>
      </c>
      <c r="M28" s="23">
        <f>M29+M30</f>
        <v>0</v>
      </c>
      <c r="N28" s="23">
        <f ca="1">N29+N30</f>
        <v>7392851.3100000005</v>
      </c>
      <c r="O28" s="22">
        <f t="shared" ref="O28:O30" ca="1" si="8">IF(L28&gt;0,N28*100/L28,0)</f>
        <v>26.696011962422755</v>
      </c>
      <c r="P28" s="22">
        <f t="shared" ref="P28:P37" si="9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27692718</v>
      </c>
      <c r="M30" s="30">
        <f t="shared" si="10"/>
        <v>0</v>
      </c>
      <c r="N30" s="30">
        <f t="shared" ca="1" si="10"/>
        <v>7392851.3100000005</v>
      </c>
      <c r="O30" s="29">
        <f t="shared" ca="1" si="8"/>
        <v>26.696011962422755</v>
      </c>
      <c r="P30" s="29">
        <f t="shared" si="9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27692718</v>
      </c>
      <c r="M32" s="38">
        <f t="shared" si="11"/>
        <v>0</v>
      </c>
      <c r="N32" s="38">
        <f t="shared" ca="1" si="11"/>
        <v>7392851.3100000005</v>
      </c>
      <c r="O32" s="38">
        <f t="shared" ca="1" si="12"/>
        <v>26.696011962422755</v>
      </c>
      <c r="P32" s="38">
        <f t="shared" si="9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27692718</v>
      </c>
      <c r="M34" s="38">
        <f t="shared" si="11"/>
        <v>0</v>
      </c>
      <c r="N34" s="38">
        <f t="shared" ca="1" si="11"/>
        <v>7392851.3100000005</v>
      </c>
      <c r="O34" s="38">
        <f t="shared" ca="1" si="12"/>
        <v>26.696011962422755</v>
      </c>
      <c r="P34" s="38">
        <f t="shared" si="9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66225780</v>
      </c>
      <c r="M37" s="54">
        <f t="shared" ca="1" si="13"/>
        <v>41545587</v>
      </c>
      <c r="N37" s="54">
        <f t="shared" ca="1" si="13"/>
        <v>28762916</v>
      </c>
      <c r="O37" s="55">
        <f t="shared" ca="1" si="12"/>
        <v>43.431600201613328</v>
      </c>
      <c r="P37" s="55">
        <f t="shared" ca="1" si="9"/>
        <v>69.232181025628549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ca="1">L42+L43</f>
        <v>16277300</v>
      </c>
      <c r="M41" s="78">
        <f ca="1">M42+M43</f>
        <v>9531715</v>
      </c>
      <c r="N41" s="78">
        <f ca="1">N42+N43</f>
        <v>7688414</v>
      </c>
      <c r="O41" s="77">
        <f t="shared" ref="O41:O43" ca="1" si="14">IF(L41&gt;0,N41*100/L41,0)</f>
        <v>47.23396386378576</v>
      </c>
      <c r="P41" s="77">
        <f t="shared" ref="P41:P43" ca="1" si="15">IF(M41&gt;0,N41*100/M41,0)</f>
        <v>80.661391995039722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16277300</v>
      </c>
      <c r="M43" s="78">
        <f t="shared" ca="1" si="16"/>
        <v>9531715</v>
      </c>
      <c r="N43" s="78">
        <f t="shared" ca="1" si="16"/>
        <v>7688414</v>
      </c>
      <c r="O43" s="77">
        <f t="shared" ca="1" si="14"/>
        <v>47.23396386378576</v>
      </c>
      <c r="P43" s="77">
        <f t="shared" ca="1" si="15"/>
        <v>80.661391995039722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7118115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6312814</v>
      </c>
      <c r="O45" s="38">
        <f ca="1">IF(L45&gt;0,N45*100/L45,0)</f>
        <v>45.534842790885548</v>
      </c>
      <c r="P45" s="38">
        <f ca="1">IF(M45&gt;0,N45*100/M45,0)</f>
        <v>88.686597505097907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2413600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2413600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1375600</v>
      </c>
      <c r="O49" s="49">
        <f ca="1">IF(L49&gt;0,N49*100/L49,0)</f>
        <v>56.993702353331123</v>
      </c>
      <c r="P49" s="49">
        <f ca="1">IF(M49&gt;0,N49*100/M49,0)</f>
        <v>56.993702353331123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4467542</v>
      </c>
      <c r="N53" s="121">
        <f t="shared" ca="1" si="17"/>
        <v>3892660</v>
      </c>
      <c r="O53" s="120">
        <f t="shared" ref="O53:O55" ca="1" si="18">IF(L53&gt;0,N53*100/L53,0)</f>
        <v>48.261300800912494</v>
      </c>
      <c r="P53" s="120">
        <f t="shared" ref="P53:P55" ca="1" si="19">IF(M53&gt;0,N53*100/M53,0)</f>
        <v>87.13202920084467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4467542</v>
      </c>
      <c r="N55" s="121">
        <f t="shared" ca="1" si="21"/>
        <v>3892660</v>
      </c>
      <c r="O55" s="120">
        <f t="shared" ca="1" si="18"/>
        <v>48.261300800912494</v>
      </c>
      <c r="P55" s="120">
        <f t="shared" ca="1" si="19"/>
        <v>87.13202920084467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4467542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3892660</v>
      </c>
      <c r="O57" s="38">
        <f ca="1">IF(L57&gt;0,N57*100/L57,0)</f>
        <v>48.261300800912494</v>
      </c>
      <c r="P57" s="38">
        <f ca="1">IF(M57&gt;0,N57*100/M57,0)</f>
        <v>87.13202920084467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7</v>
      </c>
      <c r="K64" s="143">
        <f t="shared" ref="K64:K65" ca="1" si="22">IF(I64&gt;0,J64*100/I64,0)</f>
        <v>87.5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370</v>
      </c>
      <c r="K65" s="143">
        <f t="shared" ca="1" si="22"/>
        <v>84.090909090909093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11529200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9486580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3624966</v>
      </c>
      <c r="O66" s="151">
        <f t="shared" ref="O66:O68" ca="1" si="23">IF(L66&gt;0,N66*100/L66,0)</f>
        <v>31.441609131596294</v>
      </c>
      <c r="P66" s="151">
        <f t="shared" ref="P66:P68" ca="1" si="24">IF(M66&gt;0,N66*100/M66,0)</f>
        <v>38.211515635771796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11529200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9486580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3624966</v>
      </c>
      <c r="O68" s="156">
        <f t="shared" ca="1" si="23"/>
        <v>31.441609131596294</v>
      </c>
      <c r="P68" s="156">
        <f t="shared" ca="1" si="24"/>
        <v>38.211515635771796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6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6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9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3225480</v>
      </c>
      <c r="N70" s="170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2363866</v>
      </c>
      <c r="O70" s="170">
        <f ca="1">IF(L70&gt;0,N70*100/L70,0)</f>
        <v>44.871319830678992</v>
      </c>
      <c r="P70" s="170">
        <f ca="1">IF(M70&gt;0,N70*100/M70,0)</f>
        <v>73.287262670982301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6261100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6261100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1261100</v>
      </c>
      <c r="O74" s="49">
        <f ca="1">IF(L74&gt;0,N74*100/L74,0)</f>
        <v>20.141828113270829</v>
      </c>
      <c r="P74" s="49">
        <f ca="1">IF(M74&gt;0,N74*100/M74,0)</f>
        <v>20.141828113270829</v>
      </c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1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5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5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4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2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7</v>
      </c>
      <c r="K80" s="203">
        <f t="shared" ref="K80:K88" ca="1" si="25">IF(I80&gt;0,J80*100/I80,0)</f>
        <v>87.5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2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370</v>
      </c>
      <c r="K81" s="203">
        <f t="shared" ca="1" si="25"/>
        <v>84.090909090909093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5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1</v>
      </c>
      <c r="K82" s="165">
        <f t="shared" ca="1" si="25"/>
        <v>50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5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80</v>
      </c>
      <c r="K83" s="165">
        <f t="shared" ca="1" si="25"/>
        <v>53.333333333333336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90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5">
        <f t="shared" ca="1" si="25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90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5">
        <f t="shared" ca="1" si="25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5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5">
        <f t="shared" ca="1" si="25"/>
        <v>100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5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5">
        <f t="shared" ca="1" si="25"/>
        <v>100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150</v>
      </c>
      <c r="J88" s="205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0</v>
      </c>
      <c r="K88" s="165">
        <f t="shared" ca="1" si="25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14</v>
      </c>
      <c r="K92" s="143">
        <f t="shared" ref="K92:K93" ca="1" si="26">IF(I92&gt;0,J92*100/I92,0)</f>
        <v>48.275862068965516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0</v>
      </c>
      <c r="K93" s="143">
        <f t="shared" ca="1" si="26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1172680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699205</v>
      </c>
      <c r="O94" s="151">
        <f t="shared" ref="O94:O96" ca="1" si="27">IF(L94&gt;0,N94*100/L94,0)</f>
        <v>46.809016294669753</v>
      </c>
      <c r="P94" s="151">
        <f t="shared" ref="P94:P96" ca="1" si="28">IF(M94&gt;0,N94*100/M94,0)</f>
        <v>59.624535252583826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1172680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699205</v>
      </c>
      <c r="O96" s="156">
        <f t="shared" ca="1" si="27"/>
        <v>46.809016294669753</v>
      </c>
      <c r="P96" s="156">
        <f t="shared" ca="1" si="28"/>
        <v>59.624535252583826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6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6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9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433480</v>
      </c>
      <c r="N98" s="170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237205</v>
      </c>
      <c r="O98" s="170">
        <f ca="1">IF(L98&gt;0,N98*100/L98,0)</f>
        <v>31.437034484586636</v>
      </c>
      <c r="P98" s="170">
        <f ca="1">IF(M98&gt;0,N98*100/M98,0)</f>
        <v>54.721094398818863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462000</v>
      </c>
      <c r="O102" s="49">
        <f ca="1">IF(L102&gt;0,N102*100/L102,0)</f>
        <v>62.5</v>
      </c>
      <c r="P102" s="49">
        <f ca="1">IF(M102&gt;0,N102*100/M102,0)</f>
        <v>62.5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1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5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5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4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5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4</v>
      </c>
      <c r="K108" s="225">
        <f t="shared" ref="K108:K113" ca="1" si="29">IF(I108&gt;0,J108*100/I108,0)</f>
        <v>66.666666666666671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5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14</v>
      </c>
      <c r="K109" s="225">
        <f t="shared" ca="1" si="29"/>
        <v>48.275862068965516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5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29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5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14</v>
      </c>
      <c r="K111" s="225">
        <f t="shared" ca="1" si="29"/>
        <v>48.275862068965516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5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0</v>
      </c>
      <c r="K112" s="225">
        <f t="shared" ca="1" si="29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5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0</v>
      </c>
      <c r="K113" s="225">
        <f t="shared" ca="1" si="29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70</v>
      </c>
      <c r="K117" s="143">
        <f ca="1">IF(I117&gt;0,J117*100/I117,0)</f>
        <v>66.666666666666671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357990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195408</v>
      </c>
      <c r="O118" s="151">
        <f t="shared" ref="O118:O120" ca="1" si="30">IF(L118&gt;0,N118*100/L118,0)</f>
        <v>44.210954998981876</v>
      </c>
      <c r="P118" s="151">
        <f t="shared" ref="P118:P120" ca="1" si="31">IF(M118&gt;0,N118*100/M118,0)</f>
        <v>54.584764937568089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357990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195408</v>
      </c>
      <c r="O120" s="156">
        <f t="shared" ca="1" si="30"/>
        <v>44.210954998981876</v>
      </c>
      <c r="P120" s="156">
        <f t="shared" ca="1" si="31"/>
        <v>54.584764937568089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6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6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69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357990</v>
      </c>
      <c r="N122" s="170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195408</v>
      </c>
      <c r="O122" s="170">
        <f ca="1">IF(L122&gt;0,N122*100/L122,0)</f>
        <v>44.210954998981876</v>
      </c>
      <c r="P122" s="170">
        <f ca="1">IF(M122&gt;0,N122*100/M122,0)</f>
        <v>54.584764937568089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69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1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5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5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4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5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70</v>
      </c>
      <c r="K132" s="225">
        <f t="shared" ref="K132:K133" ca="1" si="32">IF(I132&gt;0,J132*100/I132,0)</f>
        <v>66.666666666666671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5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32</v>
      </c>
      <c r="K133" s="225">
        <f t="shared" ca="1" si="32"/>
        <v>30.476190476190474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2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330</v>
      </c>
      <c r="K138" s="269">
        <f ca="1">IF(I138&gt;0,J138*100/I138,0)</f>
        <v>75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4188130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2980004</v>
      </c>
      <c r="O140" s="151">
        <f t="shared" ref="O140:O142" ca="1" si="33">IF(L140&gt;0,N140*100/L140,0)</f>
        <v>43.718791719848014</v>
      </c>
      <c r="P140" s="151">
        <f t="shared" ref="P140:P142" ca="1" si="34">IF(M140&gt;0,N140*100/M140,0)</f>
        <v>71.153569731598594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4188130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2980004</v>
      </c>
      <c r="O142" s="156">
        <f t="shared" ca="1" si="33"/>
        <v>43.718791719848014</v>
      </c>
      <c r="P142" s="156">
        <f t="shared" ca="1" si="34"/>
        <v>71.153569731598594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6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6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69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4188130</v>
      </c>
      <c r="N144" s="170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2980004</v>
      </c>
      <c r="O144" s="170">
        <f ca="1">IF(L144&gt;0,N144*100/L144,0)</f>
        <v>43.718791719848014</v>
      </c>
      <c r="P144" s="170">
        <f ca="1">IF(M144&gt;0,N144*100/M144,0)</f>
        <v>71.153569731598594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25</v>
      </c>
      <c r="K149" s="277">
        <f ca="1">IF(I149&gt;0,J149*100/I149,0)</f>
        <v>29.761904761904763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3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16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12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10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90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25</v>
      </c>
      <c r="K158" s="165">
        <f ca="1">IF(I158&gt;0,J158*100/I158,0)</f>
        <v>29.761904761904763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836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836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4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35</v>
      </c>
      <c r="K164" s="285">
        <f ca="1">IF(I164&gt;0,J164*100/I164,0)</f>
        <v>70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1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16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17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12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90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35</v>
      </c>
      <c r="K173" s="165">
        <f ca="1">IF(I173&gt;0,J173*100/I173,0)</f>
        <v>70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3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3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4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11</v>
      </c>
      <c r="K176" s="285">
        <f ca="1">IF(I176&gt;0,J176*100/I176,0)</f>
        <v>64.705882352941174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4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5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0</v>
      </c>
      <c r="K185" s="225">
        <f t="shared" ref="K185:K186" ca="1" si="35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5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11</v>
      </c>
      <c r="K186" s="225">
        <f t="shared" ca="1" si="35"/>
        <v>64.705882352941174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4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7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14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6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90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72800</v>
      </c>
      <c r="K199" s="165">
        <f t="shared" ref="K199:K201" ca="1" si="36">IF(I199&gt;0,J199*100/I199,0)</f>
        <v>16.14190687361419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90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0</v>
      </c>
      <c r="K200" s="165">
        <f t="shared" ca="1" si="36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90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5">
        <f t="shared" ca="1" si="36"/>
        <v>100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4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270</v>
      </c>
      <c r="K204" s="285">
        <f ca="1">IF(I204&gt;0,J204*100/I204,0)</f>
        <v>71.05263157894737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7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5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270</v>
      </c>
      <c r="K213" s="225">
        <f ca="1">IF(I213&gt;0,J213*100/I213,0)</f>
        <v>71.05263157894737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9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5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0</v>
      </c>
      <c r="K215" s="225">
        <f t="shared" ref="K215:K216" ca="1" si="37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5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0</v>
      </c>
      <c r="K216" s="225">
        <f t="shared" ca="1" si="37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263</v>
      </c>
      <c r="K219" s="269">
        <f ca="1">IF(I219&gt;0,J219*100/I219,0)</f>
        <v>102.734375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357748</v>
      </c>
      <c r="O220" s="151">
        <f t="shared" ref="O220:O222" ca="1" si="38">IF(L220&gt;0,N220*100/L220,0)</f>
        <v>97.362290441976924</v>
      </c>
      <c r="P220" s="151">
        <f t="shared" ref="P220:P222" ca="1" si="39">IF(M220&gt;0,N220*100/M220,0)</f>
        <v>97.362290441976924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357748</v>
      </c>
      <c r="O222" s="156">
        <f t="shared" ca="1" si="38"/>
        <v>97.362290441976924</v>
      </c>
      <c r="P222" s="156">
        <f t="shared" ca="1" si="39"/>
        <v>97.362290441976924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6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6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9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70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357748</v>
      </c>
      <c r="O224" s="170">
        <f ca="1">IF(L224&gt;0,N224*100/L224,0)</f>
        <v>97.362290441976924</v>
      </c>
      <c r="P224" s="170">
        <f ca="1">IF(M224&gt;0,N224*100/M224,0)</f>
        <v>97.362290441976924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263</v>
      </c>
      <c r="K229" s="269">
        <f ca="1">IF(I229&gt;0,J229*100/I229,0)</f>
        <v>102.734375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14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15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90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263</v>
      </c>
      <c r="K235" s="165">
        <f ca="1">IF(I235&gt;0,J235*100/I235,0)</f>
        <v>102.734375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4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3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IFERROR(__xludf.DUMMYFUNCTION("IMPORTRANGE(""https://docs.google.com/spreadsheets/d/1SX6NBoVAgQJ6U1MVXOaj8PK2l7WJ3RER9xtqwdhxkhw/edit?usp=sharing"",""กาญจนบุรี!J159"")"),"")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9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6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150</v>
      </c>
      <c r="K249" s="317">
        <f ca="1">IF(I249&gt;0,J249*100/I249,0)</f>
        <v>76.92307692307692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569500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408471</v>
      </c>
      <c r="O250" s="151">
        <f t="shared" ref="O250:O252" ca="1" si="40">IF(L250&gt;0,N250*100/L250,0)</f>
        <v>35.960119728849371</v>
      </c>
      <c r="P250" s="151">
        <f t="shared" ref="P250:P252" ca="1" si="41">IF(M250&gt;0,N250*100/M250,0)</f>
        <v>71.724495171202804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569500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408471</v>
      </c>
      <c r="O252" s="156">
        <f t="shared" ca="1" si="40"/>
        <v>35.960119728849371</v>
      </c>
      <c r="P252" s="156">
        <f t="shared" ca="1" si="41"/>
        <v>71.724495171202804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6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6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9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569500</v>
      </c>
      <c r="N254" s="170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408471</v>
      </c>
      <c r="O254" s="170">
        <f ca="1">IF(L254&gt;0,N254*100/L254,0)</f>
        <v>35.960119728849371</v>
      </c>
      <c r="P254" s="170">
        <f ca="1">IF(M254&gt;0,N254*100/M254,0)</f>
        <v>71.724495171202804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1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8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8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7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90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6</v>
      </c>
      <c r="K264" s="165">
        <f t="shared" ref="K264:K267" ca="1" si="42">IF(I264&gt;0,J264*100/I264,0)</f>
        <v>66.666666666666671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90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150</v>
      </c>
      <c r="K265" s="165">
        <f t="shared" ca="1" si="42"/>
        <v>76.92307692307692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90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25</v>
      </c>
      <c r="K266" s="165">
        <f t="shared" ca="1" si="42"/>
        <v>12.820512820512821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90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4</v>
      </c>
      <c r="K267" s="165">
        <f t="shared" ca="1" si="42"/>
        <v>44.444444444444443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1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6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130</v>
      </c>
      <c r="K270" s="317">
        <f ca="1">IF(I270&gt;0,J270*100/I270,0)</f>
        <v>63.414634146341463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699500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472118</v>
      </c>
      <c r="O271" s="151">
        <f t="shared" ref="O271:O273" ca="1" si="43">IF(L271&gt;0,N271*100/L271,0)</f>
        <v>37.265608966769278</v>
      </c>
      <c r="P271" s="151">
        <f t="shared" ref="P271:P273" ca="1" si="44">IF(M271&gt;0,N271*100/M271,0)</f>
        <v>67.493638313080766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699500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472118</v>
      </c>
      <c r="O273" s="156">
        <f t="shared" ca="1" si="43"/>
        <v>37.265608966769278</v>
      </c>
      <c r="P273" s="156">
        <f t="shared" ca="1" si="44"/>
        <v>67.493638313080766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6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6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9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699500</v>
      </c>
      <c r="N275" s="170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472118</v>
      </c>
      <c r="O275" s="170">
        <f ca="1">IF(L275&gt;0,N275*100/L275,0)</f>
        <v>37.265608966769278</v>
      </c>
      <c r="P275" s="170">
        <f ca="1">IF(M275&gt;0,N275*100/M275,0)</f>
        <v>67.493638313080766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2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12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8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90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130</v>
      </c>
      <c r="K285" s="165">
        <f ca="1">IF(I285&gt;0,J285*100/I285,0)</f>
        <v>63.414634146341463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6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70</v>
      </c>
      <c r="K289" s="317">
        <f ca="1">IF(I289&gt;0,J289*100/I289,0)</f>
        <v>70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337780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234430</v>
      </c>
      <c r="O290" s="151">
        <f t="shared" ref="O290:O292" ca="1" si="45">IF(L290&gt;0,N290*100/L290,0)</f>
        <v>53.544835777260062</v>
      </c>
      <c r="P290" s="151">
        <f t="shared" ref="P290:P292" ca="1" si="46">IF(M290&gt;0,N290*100/M290,0)</f>
        <v>69.403161821303812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337780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234430</v>
      </c>
      <c r="O292" s="156">
        <f t="shared" ca="1" si="45"/>
        <v>53.544835777260062</v>
      </c>
      <c r="P292" s="156">
        <f t="shared" ca="1" si="46"/>
        <v>69.403161821303812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6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6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9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215280</v>
      </c>
      <c r="N294" s="170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111930</v>
      </c>
      <c r="O294" s="170">
        <f ca="1">IF(L294&gt;0,N294*100/L294,0)</f>
        <v>35.497272611949768</v>
      </c>
      <c r="P294" s="170">
        <f ca="1">IF(M294&gt;0,N294*100/M294,0)</f>
        <v>51.992753623188406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1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2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2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2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5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70</v>
      </c>
      <c r="K304" s="225">
        <f ca="1">IF(I304&gt;0,J304*100/I304,0)</f>
        <v>70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5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3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4</v>
      </c>
      <c r="K309" s="334">
        <f ca="1">IF(I309&gt;0,J309*100/I309,0)</f>
        <v>26.666666666666668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509900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284374</v>
      </c>
      <c r="O310" s="151">
        <f t="shared" ref="O310:O312" ca="1" si="47">IF(L310&gt;0,N310*100/L310,0)</f>
        <v>27.885271621886645</v>
      </c>
      <c r="P310" s="151">
        <f t="shared" ref="P310:P312" ca="1" si="48">IF(M310&gt;0,N310*100/M310,0)</f>
        <v>55.77054324377329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509900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284374</v>
      </c>
      <c r="O312" s="156">
        <f t="shared" ca="1" si="47"/>
        <v>27.885271621886645</v>
      </c>
      <c r="P312" s="156">
        <f t="shared" ca="1" si="48"/>
        <v>55.77054324377329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6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6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9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509900</v>
      </c>
      <c r="N314" s="170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284374</v>
      </c>
      <c r="O314" s="170">
        <f ca="1">IF(L314&gt;0,N314*100/L314,0)</f>
        <v>27.885271621886645</v>
      </c>
      <c r="P314" s="170">
        <f ca="1">IF(M314&gt;0,N314*100/M314,0)</f>
        <v>55.77054324377329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1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2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1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1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5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4</v>
      </c>
      <c r="K324" s="225">
        <f ca="1">IF(I324&gt;0,J324*100/I324,0)</f>
        <v>26.666666666666668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2742</v>
      </c>
      <c r="J328" s="339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991</v>
      </c>
      <c r="K328" s="317">
        <f ca="1">IF(I328&gt;0,J328*100/I328,0)</f>
        <v>36.141502552881107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17373590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9856830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7925118</v>
      </c>
      <c r="O329" s="151">
        <f t="shared" ref="O329:O331" ca="1" si="49">IF(L329&gt;0,N329*100/L329,0)</f>
        <v>45.615891706895354</v>
      </c>
      <c r="P329" s="151">
        <f t="shared" ref="P329:P331" ca="1" si="50">IF(M329&gt;0,N329*100/M329,0)</f>
        <v>80.402299725165193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17373590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9856830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7925118</v>
      </c>
      <c r="O331" s="156">
        <f t="shared" ca="1" si="49"/>
        <v>45.615891706895354</v>
      </c>
      <c r="P331" s="156">
        <f t="shared" ca="1" si="50"/>
        <v>80.402299725165193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6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6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16165540</v>
      </c>
      <c r="M333" s="169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8648780</v>
      </c>
      <c r="N333" s="170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6717068</v>
      </c>
      <c r="O333" s="170">
        <f ca="1">IF(L333&gt;0,N333*100/L333,0)</f>
        <v>41.551769999641209</v>
      </c>
      <c r="P333" s="170">
        <f ca="1">IF(M333&gt;0,N333*100/M333,0)</f>
        <v>77.664919214039443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6525240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9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1431</v>
      </c>
      <c r="K339" s="342">
        <f t="shared" ref="K339:K346" ca="1" si="51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31359</v>
      </c>
      <c r="J340" s="189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16059.509999999997</v>
      </c>
      <c r="K340" s="342">
        <f t="shared" ca="1" si="51"/>
        <v>51.211805223380843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2742</v>
      </c>
      <c r="J341" s="189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1363</v>
      </c>
      <c r="K341" s="342">
        <f t="shared" ca="1" si="51"/>
        <v>49.708242159008023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9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17208.209999999974</v>
      </c>
      <c r="K342" s="342">
        <f t="shared" ca="1" si="51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2742</v>
      </c>
      <c r="J343" s="189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34</v>
      </c>
      <c r="K343" s="342">
        <f t="shared" ca="1" si="51"/>
        <v>1.2399708242159009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9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397.31</v>
      </c>
      <c r="K344" s="342">
        <f t="shared" ca="1" si="51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2742</v>
      </c>
      <c r="J345" s="189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991</v>
      </c>
      <c r="K345" s="342">
        <f t="shared" ca="1" si="51"/>
        <v>36.141502552881107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9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13496.04999999999</v>
      </c>
      <c r="K346" s="351">
        <f t="shared" ca="1" si="51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27692718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7392851.3099999996</v>
      </c>
      <c r="O347" s="358">
        <f ca="1">+IF(L347&gt;0,N347*100/L347,0)</f>
        <v>26.696011962422755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64</v>
      </c>
      <c r="K349" s="372">
        <f t="shared" ref="K349:K350" ca="1" si="52">IF(I349&gt;0,J349*100/I349,0)</f>
        <v>10.094637223974763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656510.03</v>
      </c>
      <c r="O349" s="373">
        <f ca="1">+IF(L349&gt;0,N349*100/L349,0)</f>
        <v>29.522787286283467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80</v>
      </c>
      <c r="K350" s="372">
        <f t="shared" ca="1" si="52"/>
        <v>27.397260273972602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6"/>
      <c r="N351" s="166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7">
        <f t="shared" ref="O351:O354" ca="1" si="53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7"/>
      <c r="N352" s="166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656510.03</v>
      </c>
      <c r="O352" s="167">
        <f t="shared" ca="1" si="53"/>
        <v>29.522787286283467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70"/>
      <c r="N353" s="170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70">
        <f t="shared" ca="1" si="53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70"/>
      <c r="N354" s="169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656510.03</v>
      </c>
      <c r="O354" s="170">
        <f t="shared" ca="1" si="53"/>
        <v>29.522787286283467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213368.01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115690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247717.02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79735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2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9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8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5">
        <f t="shared" ref="K367:K373" ca="1" si="54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9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80</v>
      </c>
      <c r="K368" s="165">
        <f t="shared" ca="1" si="54"/>
        <v>27.397260273972602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5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5">
        <f t="shared" ca="1" si="54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5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169</v>
      </c>
      <c r="K370" s="165">
        <f t="shared" ca="1" si="54"/>
        <v>57.876712328767127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90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5">
        <f t="shared" ca="1" si="54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90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80</v>
      </c>
      <c r="K372" s="165">
        <f t="shared" ca="1" si="54"/>
        <v>27.397260273972602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5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5">
        <f t="shared" ca="1" si="54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9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9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64</v>
      </c>
      <c r="K375" s="165">
        <f t="shared" ref="K375:K377" ca="1" si="55">IF(I375&gt;0,J375*100/I375,0)</f>
        <v>10.094637223974763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90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20</v>
      </c>
      <c r="K376" s="165">
        <f t="shared" ca="1" si="55"/>
        <v>6.5146579804560263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5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44</v>
      </c>
      <c r="K377" s="165">
        <f t="shared" ca="1" si="55"/>
        <v>13.455657492354741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1550</v>
      </c>
      <c r="K380" s="372">
        <f t="shared" ref="K380:K381" ca="1" si="56">IF(I380&gt;0,J380*100/I380,0)</f>
        <v>17.613636363636363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2309470.89</v>
      </c>
      <c r="O380" s="373">
        <f ca="1">+IF(L380&gt;0,N380*100/L380,0)</f>
        <v>25.739952320024251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716</v>
      </c>
      <c r="K381" s="372">
        <f t="shared" ca="1" si="56"/>
        <v>81.36363636363636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6"/>
      <c r="N382" s="166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7">
        <f t="shared" ref="O382:O385" ca="1" si="57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7"/>
      <c r="N383" s="167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2309470.89</v>
      </c>
      <c r="O383" s="167">
        <f t="shared" ca="1" si="57"/>
        <v>25.739952320024251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70"/>
      <c r="N384" s="170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70">
        <f t="shared" ca="1" si="57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70"/>
      <c r="N385" s="169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2309470.89</v>
      </c>
      <c r="O385" s="170">
        <f t="shared" ca="1" si="57"/>
        <v>25.739952320024251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1470219.5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312500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284225.21000000002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242526.18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1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15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14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9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716</v>
      </c>
      <c r="K396" s="165">
        <f t="shared" ref="K396:K398" ca="1" si="58">IF(I396&gt;0,J396*100/I396,0)</f>
        <v>81.36363636363636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9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1550</v>
      </c>
      <c r="K397" s="165">
        <f t="shared" ca="1" si="58"/>
        <v>17.613636363636363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9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150</v>
      </c>
      <c r="K398" s="165">
        <f t="shared" ca="1" si="58"/>
        <v>17.045454545454547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1107</v>
      </c>
      <c r="K401" s="372">
        <f t="shared" ref="K401:K402" ca="1" si="59">IF(I401&gt;0,J401*100/I401,0)</f>
        <v>36.71641791044776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1298081</v>
      </c>
      <c r="O401" s="373">
        <f ca="1">+IF(L401&gt;0,N401*100/L401,0)</f>
        <v>38.260437698032568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451</v>
      </c>
      <c r="K402" s="372">
        <f t="shared" ca="1" si="59"/>
        <v>44.875621890547265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6"/>
      <c r="N403" s="170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70">
        <f t="shared" ref="O403:O406" ca="1" si="60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7"/>
      <c r="N404" s="170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1298081</v>
      </c>
      <c r="O404" s="170">
        <f t="shared" ca="1" si="60"/>
        <v>38.260437698032568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70"/>
      <c r="N405" s="170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70">
        <f t="shared" ca="1" si="60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70"/>
      <c r="N406" s="170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1298081</v>
      </c>
      <c r="O406" s="170">
        <f t="shared" ca="1" si="60"/>
        <v>38.260437698032568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1045995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150000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102086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1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19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17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14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2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451</v>
      </c>
      <c r="K416" s="203">
        <f t="shared" ref="K416:K432" ca="1" si="61">IF(I416&gt;0,J416*100/I416,0)</f>
        <v>44.875621890547265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115</v>
      </c>
      <c r="K417" s="203">
        <f t="shared" ca="1" si="61"/>
        <v>48.319327731092436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315</v>
      </c>
      <c r="K418" s="203">
        <f t="shared" ca="1" si="61"/>
        <v>44.117647058823529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115</v>
      </c>
      <c r="K419" s="165">
        <f t="shared" ca="1" si="61"/>
        <v>48.319327731092436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145</v>
      </c>
      <c r="K420" s="288">
        <f t="shared" ca="1" si="61"/>
        <v>60.924369747899156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217</v>
      </c>
      <c r="K421" s="203">
        <f t="shared" ca="1" si="61"/>
        <v>40.866290018832395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486</v>
      </c>
      <c r="K422" s="203">
        <f t="shared" ca="1" si="61"/>
        <v>30.508474576271187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321</v>
      </c>
      <c r="K423" s="165">
        <f t="shared" ca="1" si="61"/>
        <v>60.451977401129945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276</v>
      </c>
      <c r="K424" s="165">
        <f t="shared" ca="1" si="61"/>
        <v>51.977401129943502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242</v>
      </c>
      <c r="K425" s="165">
        <f t="shared" ca="1" si="61"/>
        <v>45.574387947269301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119</v>
      </c>
      <c r="K426" s="203">
        <f t="shared" ca="1" si="61"/>
        <v>50.423728813559322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306</v>
      </c>
      <c r="K427" s="203">
        <f t="shared" ca="1" si="61"/>
        <v>43.220338983050844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152</v>
      </c>
      <c r="K428" s="165">
        <f t="shared" ca="1" si="61"/>
        <v>64.406779661016955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119</v>
      </c>
      <c r="K429" s="165">
        <f t="shared" ca="1" si="61"/>
        <v>50.423728813559322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145</v>
      </c>
      <c r="K430" s="203">
        <f t="shared" ca="1" si="61"/>
        <v>18.855656697009103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70</v>
      </c>
      <c r="K431" s="165">
        <f t="shared" ca="1" si="61"/>
        <v>29.411764705882351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105</v>
      </c>
      <c r="K432" s="165">
        <f t="shared" ca="1" si="61"/>
        <v>19.774011299435028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319</v>
      </c>
      <c r="K435" s="411">
        <f ca="1">IF(I435&gt;0,J435*100/I435,0)</f>
        <v>62.671905697445972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2293900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930738.67</v>
      </c>
      <c r="O435" s="412">
        <f t="shared" ref="O435:O439" ca="1" si="62">+IF(L435&gt;0,N435*100/L435,0)</f>
        <v>40.574509350887134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6"/>
      <c r="N436" s="170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70">
        <f t="shared" ca="1" si="62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2293900</v>
      </c>
      <c r="M437" s="167"/>
      <c r="N437" s="170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930738.67</v>
      </c>
      <c r="O437" s="170">
        <f t="shared" ca="1" si="62"/>
        <v>40.574509350887134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70"/>
      <c r="N438" s="170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70">
        <f t="shared" ca="1" si="62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2293900</v>
      </c>
      <c r="M439" s="170"/>
      <c r="N439" s="170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930738.67</v>
      </c>
      <c r="O439" s="170">
        <f t="shared" ca="1" si="62"/>
        <v>40.574509350887134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686435.29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244303.38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19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19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16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2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319</v>
      </c>
      <c r="K449" s="165">
        <f t="shared" ref="K449:K452" ca="1" si="63">IF(I449&gt;0,J449*100/I449,0)</f>
        <v>62.671905697445972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90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234</v>
      </c>
      <c r="K450" s="165">
        <f t="shared" ca="1" si="63"/>
        <v>58.646616541353382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9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80</v>
      </c>
      <c r="K451" s="165">
        <f t="shared" ca="1" si="63"/>
        <v>72.727272727272734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9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5</v>
      </c>
      <c r="K452" s="165">
        <f t="shared" ca="1" si="63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1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556255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8158</v>
      </c>
      <c r="K455" s="372">
        <f ca="1">IF(I455&gt;0,J455*100/I455,0)</f>
        <v>1.4665935587095846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5513963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704350.99999999988</v>
      </c>
      <c r="O455" s="373">
        <f t="shared" ref="O455:O459" ca="1" si="64">+IF(L455&gt;0,N455*100/L455,0)</f>
        <v>12.773952237256577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6"/>
      <c r="N456" s="170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70">
        <f t="shared" ca="1" si="64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5513963</v>
      </c>
      <c r="M457" s="167"/>
      <c r="N457" s="170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704350.99999999988</v>
      </c>
      <c r="O457" s="170">
        <f t="shared" ca="1" si="64"/>
        <v>12.773952237256577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70"/>
      <c r="N458" s="170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70">
        <f t="shared" ca="1" si="64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5513963</v>
      </c>
      <c r="M459" s="170"/>
      <c r="N459" s="170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704350.99999999988</v>
      </c>
      <c r="O459" s="170">
        <f t="shared" ca="1" si="64"/>
        <v>12.773952237256577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187226.31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517124.69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556255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8158</v>
      </c>
      <c r="K464" s="269">
        <f t="shared" ref="K464:K515" ca="1" si="65">IF(I464&gt;0,J464*100/I464,0)</f>
        <v>1.4665935587095846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556255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338410.89999999997</v>
      </c>
      <c r="K465" s="203">
        <f t="shared" ca="1" si="65"/>
        <v>60.837367753997718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45637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28289</v>
      </c>
      <c r="K466" s="203">
        <f t="shared" ca="1" si="65"/>
        <v>61.986984245239611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90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260436.7</v>
      </c>
      <c r="K467" s="165">
        <f t="shared" ca="1" si="65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90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22933</v>
      </c>
      <c r="K468" s="165">
        <f t="shared" ca="1" si="65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90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64930.479999999996</v>
      </c>
      <c r="K469" s="165">
        <f t="shared" ca="1" si="65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90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4344</v>
      </c>
      <c r="K470" s="165">
        <f t="shared" ca="1" si="65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90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13043.720000000001</v>
      </c>
      <c r="K471" s="165">
        <f t="shared" ca="1" si="65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90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1012</v>
      </c>
      <c r="K472" s="165">
        <f t="shared" ca="1" si="65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556255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8389.1200000000008</v>
      </c>
      <c r="K473" s="203">
        <f t="shared" ca="1" si="65"/>
        <v>1.5081428481541741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45637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645</v>
      </c>
      <c r="K474" s="165">
        <f t="shared" ca="1" si="65"/>
        <v>1.4133269058001183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90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7812.31</v>
      </c>
      <c r="K475" s="165">
        <f t="shared" ca="1" si="65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90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583</v>
      </c>
      <c r="K476" s="165">
        <f t="shared" ca="1" si="65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90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485</v>
      </c>
      <c r="K477" s="165">
        <f t="shared" ca="1" si="65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90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54</v>
      </c>
      <c r="K478" s="165">
        <f t="shared" ca="1" si="65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90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91.81</v>
      </c>
      <c r="K479" s="165">
        <f t="shared" ca="1" si="65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90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8</v>
      </c>
      <c r="K480" s="165">
        <f t="shared" ca="1" si="65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556255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8158</v>
      </c>
      <c r="K481" s="203">
        <f t="shared" ca="1" si="65"/>
        <v>1.4665935587095846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45637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610</v>
      </c>
      <c r="K482" s="165">
        <f t="shared" ca="1" si="65"/>
        <v>1.3366347481210421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90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7879</v>
      </c>
      <c r="K483" s="165">
        <f t="shared" ca="1" si="65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90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585</v>
      </c>
      <c r="K484" s="165">
        <f t="shared" ca="1" si="65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90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180</v>
      </c>
      <c r="K485" s="165">
        <f t="shared" ca="1" si="65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90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17</v>
      </c>
      <c r="K486" s="165">
        <f t="shared" ca="1" si="65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99</v>
      </c>
      <c r="K487" s="165">
        <f t="shared" ca="1" si="65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8</v>
      </c>
      <c r="K488" s="165">
        <f t="shared" ca="1" si="65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90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99</v>
      </c>
      <c r="K489" s="165">
        <f t="shared" ca="1" si="65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90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8</v>
      </c>
      <c r="K490" s="165">
        <f t="shared" ca="1" si="65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90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0</v>
      </c>
      <c r="K491" s="165">
        <f t="shared" ca="1" si="65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90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0</v>
      </c>
      <c r="K492" s="165">
        <f t="shared" ca="1" si="65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90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5">
        <f t="shared" ca="1" si="65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88">
        <f t="shared" ca="1" si="65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0</v>
      </c>
      <c r="K495" s="165">
        <f t="shared" ca="1" si="65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0</v>
      </c>
      <c r="K496" s="288">
        <f t="shared" ca="1" si="65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6405</v>
      </c>
      <c r="K497" s="444">
        <f t="shared" ca="1" si="65"/>
        <v>10.925932243867489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6405</v>
      </c>
      <c r="K498" s="203">
        <f t="shared" ca="1" si="65"/>
        <v>10.925932243867489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455</v>
      </c>
      <c r="K499" s="203">
        <f t="shared" ca="1" si="65"/>
        <v>12.027491408934708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4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5719</v>
      </c>
      <c r="K500" s="165">
        <f t="shared" ca="1" si="65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4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345</v>
      </c>
      <c r="K501" s="165">
        <f t="shared" ca="1" si="65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90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5714</v>
      </c>
      <c r="K502" s="165">
        <f t="shared" ca="1" si="65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9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344</v>
      </c>
      <c r="K503" s="165">
        <f t="shared" ca="1" si="65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90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5</v>
      </c>
      <c r="K504" s="165">
        <f t="shared" ca="1" si="65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9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</v>
      </c>
      <c r="K505" s="165">
        <f t="shared" ca="1" si="65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90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5">
        <f t="shared" ca="1" si="65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9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5">
        <f t="shared" ca="1" si="65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4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182</v>
      </c>
      <c r="K508" s="165">
        <f t="shared" ca="1" si="65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4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9</v>
      </c>
      <c r="K509" s="165">
        <f t="shared" ca="1" si="65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9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182</v>
      </c>
      <c r="K510" s="165">
        <f t="shared" ca="1" si="65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9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9</v>
      </c>
      <c r="K511" s="165">
        <f t="shared" ca="1" si="65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9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65">
        <f t="shared" ca="1" si="65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9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65">
        <f t="shared" ca="1" si="65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9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5">
        <f t="shared" ca="1" si="65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9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5">
        <f t="shared" ca="1" si="65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4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4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9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9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9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9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9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5531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9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175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5531</v>
      </c>
      <c r="J525" s="284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175</v>
      </c>
      <c r="J526" s="284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9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9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9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9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9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349</v>
      </c>
      <c r="K533" s="411">
        <f ca="1">IF(I533&gt;0,J533*100/I533,0)</f>
        <v>79.13832199546485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414247.99</v>
      </c>
      <c r="O533" s="412">
        <f t="shared" ref="O533:O537" ca="1" si="66">+IF(L533&gt;0,N533*100/L533,0)</f>
        <v>58.901447482546317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6"/>
      <c r="N534" s="170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70">
        <f t="shared" ca="1" si="66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7"/>
      <c r="N535" s="170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414247.99</v>
      </c>
      <c r="O535" s="170">
        <f t="shared" ca="1" si="66"/>
        <v>58.901447482546317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70"/>
      <c r="N536" s="170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70">
        <f t="shared" ca="1" si="66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70"/>
      <c r="N537" s="170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414247.99</v>
      </c>
      <c r="O537" s="170">
        <f t="shared" ca="1" si="66"/>
        <v>58.901447482546317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269671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144576.99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1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18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18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17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90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349</v>
      </c>
      <c r="K547" s="165">
        <f t="shared" ref="K547:K548" ca="1" si="67">IF(I547&gt;0,J547*100/I547,0)</f>
        <v>79.13832199546485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5">
        <f t="shared" ca="1" si="67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3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3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11">
        <f ca="1">IF(I551&gt;0,J551*100/I551,0)</f>
        <v>0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41785</v>
      </c>
      <c r="O551" s="412">
        <f t="shared" ref="O551:O555" ca="1" si="68">+IF(L551&gt;0,N551*100/L551,0)</f>
        <v>21.103535353535353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6"/>
      <c r="N552" s="170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70">
        <f t="shared" ca="1" si="68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7"/>
      <c r="N553" s="170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41785</v>
      </c>
      <c r="O553" s="170">
        <f t="shared" ca="1" si="68"/>
        <v>21.103535353535353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70"/>
      <c r="N554" s="170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70">
        <f t="shared" ca="1" si="68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70"/>
      <c r="N555" s="170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41785</v>
      </c>
      <c r="O555" s="170">
        <f t="shared" ca="1" si="68"/>
        <v>21.103535353535353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41785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4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5">
        <f t="shared" ref="K560:K561" ca="1" si="69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5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5">
        <f t="shared" ca="1" si="69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 t="str">
        <f ca="1">IFERROR(__xludf.DUMMYFUNCTION("IMPORTRANGE(""https://docs.google.com/spreadsheets/d/1SX6NBoVAgQJ6U1MVXOaj8PK2l7WJ3RER9xtqwdhxkhw/edit?usp=sharing"",""กาญจนบุรี!I457"")"),"")</f>
        <v/>
      </c>
      <c r="J562" s="205" t="str">
        <f ca="1">IFERROR(__xludf.DUMMYFUNCTION("IMPORTRANGE(""https://docs.google.com/spreadsheets/d/1SX6NBoVAgQJ6U1MVXOaj8PK2l7WJ3RER9xtqwdhxkhw/edit?usp=sharing"",""กาญจนบุรี!J457"")"),"")</f>
        <v/>
      </c>
      <c r="K562" s="165"/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 t="str">
        <f ca="1">IFERROR(__xludf.DUMMYFUNCTION("IMPORTRANGE(""https://docs.google.com/spreadsheets/d/1SX6NBoVAgQJ6U1MVXOaj8PK2l7WJ3RER9xtqwdhxkhw/edit?usp=sharing"",""กาญจนบุรี!I458"")"),"")</f>
        <v/>
      </c>
      <c r="J563" s="189" t="str">
        <f ca="1">IFERROR(__xludf.DUMMYFUNCTION("IMPORTRANGE(""https://docs.google.com/spreadsheets/d/1SX6NBoVAgQJ6U1MVXOaj8PK2l7WJ3RER9xtqwdhxkhw/edit?usp=sharing"",""กาญจนบุรี!J458"")"),"")</f>
        <v/>
      </c>
      <c r="K563" s="165"/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29477</v>
      </c>
      <c r="K564" s="372">
        <f ca="1">IF(I564&gt;0,J564*100/I564,0)</f>
        <v>187.27445997458705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823255.81</v>
      </c>
      <c r="O564" s="373">
        <f t="shared" ref="O564:O568" ca="1" si="70">+IF(L564&gt;0,N564*100/L564,0)</f>
        <v>30.937370727234466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6"/>
      <c r="N565" s="170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70">
        <f t="shared" ca="1" si="70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7"/>
      <c r="N566" s="170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823255.81</v>
      </c>
      <c r="O566" s="170">
        <f t="shared" ca="1" si="70"/>
        <v>30.937370727234466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70"/>
      <c r="N567" s="170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70">
        <f t="shared" ca="1" si="70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70"/>
      <c r="N568" s="170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823255.81</v>
      </c>
      <c r="O568" s="170">
        <f t="shared" ca="1" si="70"/>
        <v>30.937370727234466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646134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177121.81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29477</v>
      </c>
      <c r="K573" s="203">
        <f ca="1">IF(I573&gt;0,J573*100/I573,0)</f>
        <v>187.27445997458705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9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32</v>
      </c>
      <c r="K575" s="165">
        <f t="shared" ref="K575:K579" ca="1" si="71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9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1301</v>
      </c>
      <c r="K576" s="165">
        <f t="shared" ca="1" si="71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90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28025</v>
      </c>
      <c r="K577" s="165">
        <f t="shared" ca="1" si="71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9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41</v>
      </c>
      <c r="K578" s="165">
        <f t="shared" ca="1" si="71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9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110</v>
      </c>
      <c r="K579" s="165">
        <f t="shared" ca="1" si="71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16</v>
      </c>
      <c r="K580" s="372">
        <f ca="1">IF(I580&gt;0,J580*100/I580,0)</f>
        <v>1.6080402010050252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185942.91999999998</v>
      </c>
      <c r="O580" s="373">
        <f t="shared" ref="O580:O584" ca="1" si="72">+IF(L580&gt;0,N580*100/L580,0)</f>
        <v>11.733228164605885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6"/>
      <c r="N581" s="170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70">
        <f t="shared" ca="1" si="72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67"/>
      <c r="N582" s="170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185942.91999999998</v>
      </c>
      <c r="O582" s="170">
        <f t="shared" ca="1" si="72"/>
        <v>11.733228164605885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70"/>
      <c r="N583" s="170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70">
        <f t="shared" ca="1" si="72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70"/>
      <c r="N584" s="170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185942.91999999998</v>
      </c>
      <c r="O584" s="170">
        <f t="shared" ca="1" si="72"/>
        <v>11.733228164605885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122182.92000000001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63760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189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208</v>
      </c>
      <c r="K589" s="165">
        <f t="shared" ref="K589:K596" ca="1" si="73">IF(I589&gt;0,J589*100/I589,0)</f>
        <v>20.904522613065328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9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162.13</v>
      </c>
      <c r="K590" s="479">
        <f t="shared" ca="1" si="73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189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26</v>
      </c>
      <c r="K591" s="165">
        <f t="shared" ca="1" si="73"/>
        <v>2.613065326633166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9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24.979999999999997</v>
      </c>
      <c r="K592" s="342">
        <f t="shared" ca="1" si="73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189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1</v>
      </c>
      <c r="K593" s="165">
        <f t="shared" ca="1" si="73"/>
        <v>0.10050251256281408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9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0.59</v>
      </c>
      <c r="K594" s="342">
        <f t="shared" ca="1" si="73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189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16</v>
      </c>
      <c r="K595" s="165">
        <f t="shared" ca="1" si="73"/>
        <v>1.6080402010050252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15.51</v>
      </c>
      <c r="K596" s="486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7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411">
        <f ca="1">IF(I597&gt;0,J597*100/I597,0)</f>
        <v>0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28468</v>
      </c>
      <c r="O597" s="412">
        <f t="shared" ref="O597:O601" ca="1" si="74">+IF(L597&gt;0,N597*100/L597,0)</f>
        <v>19.111170784103116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6"/>
      <c r="N598" s="170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70">
        <f t="shared" ca="1" si="74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7"/>
      <c r="N599" s="170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28468</v>
      </c>
      <c r="O599" s="170">
        <f t="shared" ca="1" si="74"/>
        <v>19.111170784103116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70"/>
      <c r="N600" s="170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70">
        <f t="shared" ca="1" si="74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70"/>
      <c r="N601" s="170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28468</v>
      </c>
      <c r="O601" s="170">
        <f t="shared" ca="1" si="74"/>
        <v>19.111170784103116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4000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24468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4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12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4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65">
        <f t="shared" ref="K611:K619" ca="1" si="75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9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392.63</v>
      </c>
      <c r="K612" s="165">
        <f t="shared" ca="1" si="75"/>
        <v>24.058210784313726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9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392.63</v>
      </c>
      <c r="K613" s="165">
        <f t="shared" ca="1" si="75"/>
        <v>24.058210784313726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9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157</v>
      </c>
      <c r="K614" s="165">
        <f t="shared" ca="1" si="75"/>
        <v>9.6200980392156854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9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157</v>
      </c>
      <c r="K615" s="165">
        <f t="shared" ca="1" si="75"/>
        <v>9.6200980392156854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9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0</v>
      </c>
      <c r="K616" s="165">
        <f t="shared" ca="1" si="75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9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65">
        <f t="shared" ca="1" si="75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90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5">
        <f t="shared" ca="1" si="75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90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65">
        <f t="shared" ca="1" si="75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4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5">
        <f t="shared" ref="K620:K626" ca="1" si="76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4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5">
        <f t="shared" ca="1" si="76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90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5">
        <f t="shared" ca="1" si="76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90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5">
        <f t="shared" ca="1" si="76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9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5">
        <f t="shared" ca="1" si="76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90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5">
        <f t="shared" ca="1" si="76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90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5">
        <f t="shared" ca="1" si="76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96557254.699999988</v>
      </c>
      <c r="J628" s="341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22704179.43</v>
      </c>
      <c r="K628" s="342">
        <f t="shared" ref="K628:K635" ca="1" si="77">IF(I628&gt;0,J628*100/I628,0)</f>
        <v>23.513696097244161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3830</v>
      </c>
      <c r="J629" s="341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1039</v>
      </c>
      <c r="K629" s="342">
        <f t="shared" ca="1" si="77"/>
        <v>27.127937336814622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1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7079336.1500000004</v>
      </c>
      <c r="K630" s="342">
        <f t="shared" ca="1" si="77"/>
        <v>6.0809617443650055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1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979</v>
      </c>
      <c r="K631" s="342">
        <f t="shared" ca="1" si="77"/>
        <v>28.180771445020149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1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6360821.9300000006</v>
      </c>
      <c r="K632" s="342">
        <f t="shared" ca="1" si="77"/>
        <v>13.319124290874742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1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2667</v>
      </c>
      <c r="K633" s="342">
        <f t="shared" ca="1" si="77"/>
        <v>24.129195693476884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90975000</v>
      </c>
      <c r="J634" s="341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13030000</v>
      </c>
      <c r="K634" s="342">
        <f t="shared" ca="1" si="77"/>
        <v>14.322616103325089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2640</v>
      </c>
      <c r="J635" s="504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378</v>
      </c>
      <c r="K635" s="486">
        <f t="shared" ca="1" si="77"/>
        <v>14.318181818181818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G557" sqref="G557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254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3292795</v>
      </c>
      <c r="M8" s="23">
        <f t="shared" ca="1" si="0"/>
        <v>1595815</v>
      </c>
      <c r="N8" s="23">
        <f t="shared" ca="1" si="0"/>
        <v>1582780.03</v>
      </c>
      <c r="O8" s="22">
        <f t="shared" ref="O8:O16" ca="1" si="1">IF(L8&gt;0,N8*100/L8,0)</f>
        <v>48.067979634322818</v>
      </c>
      <c r="P8" s="22">
        <f t="shared" ref="P8:P16" ca="1" si="2">IF(M8&gt;0,N8*100/M8,0)</f>
        <v>99.183177874628328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3292795</v>
      </c>
      <c r="M10" s="30">
        <f t="shared" ca="1" si="4"/>
        <v>1595815</v>
      </c>
      <c r="N10" s="30">
        <f t="shared" ca="1" si="4"/>
        <v>1582780.03</v>
      </c>
      <c r="O10" s="29">
        <f t="shared" ca="1" si="1"/>
        <v>48.067979634322818</v>
      </c>
      <c r="P10" s="29">
        <f t="shared" ca="1" si="2"/>
        <v>99.183177874628328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2942195</v>
      </c>
      <c r="M12" s="38">
        <f t="shared" ca="1" si="6"/>
        <v>1245215</v>
      </c>
      <c r="N12" s="38">
        <f t="shared" ca="1" si="6"/>
        <v>1232180.03</v>
      </c>
      <c r="O12" s="38">
        <f t="shared" ca="1" si="1"/>
        <v>41.879618108249112</v>
      </c>
      <c r="P12" s="38">
        <f t="shared" ca="1" si="2"/>
        <v>98.953195231345589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1044395</v>
      </c>
      <c r="M14" s="38">
        <f t="shared" si="8"/>
        <v>0</v>
      </c>
      <c r="N14" s="38">
        <f t="shared" ca="1" si="8"/>
        <v>298223.03000000003</v>
      </c>
      <c r="O14" s="38">
        <f t="shared" ca="1" si="1"/>
        <v>28.554620617678182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1595815</v>
      </c>
      <c r="N18" s="23">
        <f t="shared" ca="1" si="11"/>
        <v>1284557</v>
      </c>
      <c r="O18" s="22">
        <f t="shared" ref="O18:O20" ca="1" si="12">IF(L18&gt;0,N18*100/L18,0)</f>
        <v>47.106774896815253</v>
      </c>
      <c r="P18" s="22">
        <f t="shared" ref="P18:P26" ca="1" si="13">IF(M18&gt;0,N18*100/M18,0)</f>
        <v>80.495358171216594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1595815</v>
      </c>
      <c r="N20" s="30">
        <f t="shared" ca="1" si="15"/>
        <v>1284557</v>
      </c>
      <c r="O20" s="29">
        <f t="shared" ca="1" si="12"/>
        <v>47.106774896815253</v>
      </c>
      <c r="P20" s="29">
        <f t="shared" ca="1" si="13"/>
        <v>80.495358171216594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1245215</v>
      </c>
      <c r="N22" s="38">
        <f t="shared" ca="1" si="18"/>
        <v>933957</v>
      </c>
      <c r="O22" s="38">
        <f t="shared" ca="1" si="17"/>
        <v>39.302909348757844</v>
      </c>
      <c r="P22" s="38">
        <f t="shared" ca="1" si="13"/>
        <v>75.003674064318204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298223.03000000003</v>
      </c>
      <c r="O28" s="22">
        <f t="shared" ref="O28:O30" ca="1" si="24">IF(L28&gt;0,N28*100/L28,0)</f>
        <v>52.699823287211302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298223.03000000003</v>
      </c>
      <c r="O30" s="29">
        <f t="shared" ca="1" si="24"/>
        <v>52.699823287211302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565890</v>
      </c>
      <c r="M32" s="38">
        <f t="shared" si="30"/>
        <v>0</v>
      </c>
      <c r="N32" s="38">
        <f t="shared" ca="1" si="30"/>
        <v>298223.03000000003</v>
      </c>
      <c r="O32" s="38">
        <f t="shared" ca="1" si="29"/>
        <v>52.699823287211302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565890</v>
      </c>
      <c r="M34" s="38">
        <f t="shared" si="32"/>
        <v>0</v>
      </c>
      <c r="N34" s="38">
        <f t="shared" ca="1" si="32"/>
        <v>298223.03000000003</v>
      </c>
      <c r="O34" s="38">
        <f t="shared" ca="1" si="29"/>
        <v>52.699823287211302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1595815</v>
      </c>
      <c r="N37" s="54">
        <f t="shared" ca="1" si="33"/>
        <v>1284557</v>
      </c>
      <c r="O37" s="55">
        <f t="shared" ca="1" si="29"/>
        <v>47.106774896815253</v>
      </c>
      <c r="P37" s="55">
        <f t="shared" ca="1" si="25"/>
        <v>80.495358171216594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681000</v>
      </c>
      <c r="N41" s="78">
        <f t="shared" ca="1" si="34"/>
        <v>648391</v>
      </c>
      <c r="O41" s="77">
        <f t="shared" ref="O41:O43" ca="1" si="35">IF(L41&gt;0,N41*100/L41,0)</f>
        <v>64.114604963907837</v>
      </c>
      <c r="P41" s="77">
        <f t="shared" ref="P41:P43" ca="1" si="36">IF(M41&gt;0,N41*100/M41,0)</f>
        <v>95.211600587371507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681000</v>
      </c>
      <c r="N43" s="78">
        <f t="shared" ca="1" si="38"/>
        <v>648391</v>
      </c>
      <c r="O43" s="77">
        <f t="shared" ca="1" si="35"/>
        <v>64.114604963907837</v>
      </c>
      <c r="P43" s="77">
        <f t="shared" ca="1" si="36"/>
        <v>95.211600587371507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IFERROR(__xludf.DUMMYFUNCTION("IMPORTRANGE(""https://docs.google.com/spreadsheets/d/1Yj_ptqi66GCucihVvJfMjLAmec39IyEx_6qawtMGysU/edit?usp=sharing"",""สบก!Q67"")"),330400)</f>
        <v>330400</v>
      </c>
      <c r="N45" s="49">
        <f ca="1">IFERROR(__xludf.DUMMYFUNCTION("IMPORTRANGE(""https://docs.google.com/spreadsheets/d/1Yj_ptqi66GCucihVvJfMjLAmec39IyEx_6qawtMGysU/edit?usp=sharing"",""สบก!R67"")"),297791)</f>
        <v>297791</v>
      </c>
      <c r="O45" s="38">
        <f ca="1">IF(L45&gt;0,N45*100/L45,0)</f>
        <v>45.072044800968669</v>
      </c>
      <c r="P45" s="38">
        <f ca="1">IF(M45&gt;0,N45*100/M45,0)</f>
        <v>90.130447941888619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213500</v>
      </c>
      <c r="N53" s="121">
        <f t="shared" ca="1" si="39"/>
        <v>201148</v>
      </c>
      <c r="O53" s="120">
        <f t="shared" ref="O53:O55" ca="1" si="40">IF(L53&gt;0,N53*100/L53,0)</f>
        <v>50.286999999999999</v>
      </c>
      <c r="P53" s="120">
        <f t="shared" ref="P53:P55" ca="1" si="41">IF(M53&gt;0,N53*100/M53,0)</f>
        <v>94.21451990632319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213500</v>
      </c>
      <c r="N55" s="121">
        <f t="shared" ca="1" si="43"/>
        <v>201148</v>
      </c>
      <c r="O55" s="120">
        <f t="shared" ca="1" si="40"/>
        <v>50.286999999999999</v>
      </c>
      <c r="P55" s="120">
        <f t="shared" ca="1" si="41"/>
        <v>94.21451990632319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IFERROR(__xludf.DUMMYFUNCTION("IMPORTRANGE(""https://docs.google.com/spreadsheets/d/1Yj_ptqi66GCucihVvJfMjLAmec39IyEx_6qawtMGysU/edit?usp=sharing"",""สบก!Z67"")"),213500)</f>
        <v>213500</v>
      </c>
      <c r="N57" s="49">
        <f ca="1">IFERROR(__xludf.DUMMYFUNCTION("IMPORTRANGE(""https://docs.google.com/spreadsheets/d/1Yj_ptqi66GCucihVvJfMjLAmec39IyEx_6qawtMGysU/edit?usp=sharing"",""สบก!AA67"")"),201148)</f>
        <v>201148</v>
      </c>
      <c r="O57" s="38">
        <f ca="1">IF(L57&gt;0,N57*100/L57,0)</f>
        <v>50.286999999999999</v>
      </c>
      <c r="P57" s="38">
        <f ca="1">IF(M57&gt;0,N57*100/M57,0)</f>
        <v>94.21451990632319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IFERROR(__xludf.DUMMYFUNCTION("IMPORTRANGE(""https://docs.google.com/spreadsheets/d/1Yj_ptqi66GCucihVvJfMjLAmec39IyEx_6qawtMGysU/edit?usp=sharing"",""สบก!AI67"")"),0)</f>
        <v>0</v>
      </c>
      <c r="N70" s="170">
        <f ca="1">IFERROR(__xludf.DUMMYFUNCTION("IMPORTRANGE(""https://docs.google.com/spreadsheets/d/1Yj_ptqi66GCucihVvJfMjLAmec39IyEx_6qawtMGysU/edit?usp=sharing"",""สบก!AJ67"")"),0)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IFERROR(__xludf.DUMMYFUNCTION("IMPORTRANGE(""https://docs.google.com/spreadsheets/d/1Yj_ptqi66GCucihVvJfMjLAmec39IyEx_6qawtMGysU/edit?usp=sharing"",""สบก!AE67"")"),0)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IFERROR(__xludf.DUMMYFUNCTION("IMPORTRANGE(""https://docs.google.com/spreadsheets/d/1Yj_ptqi66GCucihVvJfMjLAmec39IyEx_6qawtMGysU/edit?usp=sharing"",""สบก!AF67"")"),0)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IFERROR(__xludf.DUMMYFUNCTION("IMPORTRANGE(""https://docs.google.com/spreadsheets/d/1SX6NBoVAgQJ6U1MVXOaj8PK2l7WJ3RER9xtqwdhxkhw/edit?usp=sharing"",""ปทุมธานี!J16"")"),0)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IFERROR(__xludf.DUMMYFUNCTION("IMPORTRANGE(""https://docs.google.com/spreadsheets/d/1SX6NBoVAgQJ6U1MVXOaj8PK2l7WJ3RER9xtqwdhxkhw/edit?usp=sharing"",""ปทุมธานี!J17"")"),0)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IFERROR(__xludf.DUMMYFUNCTION("IMPORTRANGE(""https://docs.google.com/spreadsheets/d/1SX6NBoVAgQJ6U1MVXOaj8PK2l7WJ3RER9xtqwdhxkhw/edit?usp=sharing"",""ปทุมธานี!J18"")"),0)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IFERROR(__xludf.DUMMYFUNCTION("IMPORTRANGE(""https://docs.google.com/spreadsheets/d/1SX6NBoVAgQJ6U1MVXOaj8PK2l7WJ3RER9xtqwdhxkhw/edit?usp=sharing"",""ปทุมธานี!J19"")"),0)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IFERROR(__xludf.DUMMYFUNCTION("IMPORTRANGE(""https://docs.google.com/spreadsheets/d/1SX6NBoVAgQJ6U1MVXOaj8PK2l7WJ3RER9xtqwdhxkhw/edit?usp=sharing"",""ปทุมธานี!I20"")"),0)</f>
        <v>0</v>
      </c>
      <c r="J80" s="202">
        <f ca="1">IFERROR(__xludf.DUMMYFUNCTION("IMPORTRANGE(""https://docs.google.com/spreadsheets/d/1SX6NBoVAgQJ6U1MVXOaj8PK2l7WJ3RER9xtqwdhxkhw/edit?usp=sharing"",""ปทุมธานี!J20"")"),0)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IFERROR(__xludf.DUMMYFUNCTION("IMPORTRANGE(""https://docs.google.com/spreadsheets/d/1SX6NBoVAgQJ6U1MVXOaj8PK2l7WJ3RER9xtqwdhxkhw/edit?usp=sharing"",""ปทุมธานี!I21"")"),0)</f>
        <v>0</v>
      </c>
      <c r="J81" s="202">
        <f ca="1">IFERROR(__xludf.DUMMYFUNCTION("IMPORTRANGE(""https://docs.google.com/spreadsheets/d/1SX6NBoVAgQJ6U1MVXOaj8PK2l7WJ3RER9xtqwdhxkhw/edit?usp=sharing"",""ปทุมธานี!J21"")"),0)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IFERROR(__xludf.DUMMYFUNCTION("IMPORTRANGE(""https://docs.google.com/spreadsheets/d/1SX6NBoVAgQJ6U1MVXOaj8PK2l7WJ3RER9xtqwdhxkhw/edit?usp=sharing"",""ปทุมธานี!I22"")"),0)</f>
        <v>0</v>
      </c>
      <c r="J82" s="205">
        <f ca="1">IFERROR(__xludf.DUMMYFUNCTION("IMPORTRANGE(""https://docs.google.com/spreadsheets/d/1SX6NBoVAgQJ6U1MVXOaj8PK2l7WJ3RER9xtqwdhxkhw/edit?usp=sharing"",""ปทุมธานี!J22"")"),0)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IFERROR(__xludf.DUMMYFUNCTION("IMPORTRANGE(""https://docs.google.com/spreadsheets/d/1SX6NBoVAgQJ6U1MVXOaj8PK2l7WJ3RER9xtqwdhxkhw/edit?usp=sharing"",""ปทุมธานี!I23"")"),0)</f>
        <v>0</v>
      </c>
      <c r="J83" s="205">
        <f ca="1">IFERROR(__xludf.DUMMYFUNCTION("IMPORTRANGE(""https://docs.google.com/spreadsheets/d/1SX6NBoVAgQJ6U1MVXOaj8PK2l7WJ3RER9xtqwdhxkhw/edit?usp=sharing"",""ปทุมธานี!J23"")"),0)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IFERROR(__xludf.DUMMYFUNCTION("IMPORTRANGE(""https://docs.google.com/spreadsheets/d/1SX6NBoVAgQJ6U1MVXOaj8PK2l7WJ3RER9xtqwdhxkhw/edit?usp=sharing"",""ปทุมธานี!I24"")"),0)</f>
        <v>0</v>
      </c>
      <c r="J84" s="190">
        <f ca="1">IFERROR(__xludf.DUMMYFUNCTION("IMPORTRANGE(""https://docs.google.com/spreadsheets/d/1SX6NBoVAgQJ6U1MVXOaj8PK2l7WJ3RER9xtqwdhxkhw/edit?usp=sharing"",""ปทุมธานี!J24"")"),0)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IFERROR(__xludf.DUMMYFUNCTION("IMPORTRANGE(""https://docs.google.com/spreadsheets/d/1SX6NBoVAgQJ6U1MVXOaj8PK2l7WJ3RER9xtqwdhxkhw/edit?usp=sharing"",""ปทุมธานี!I25"")"),0)</f>
        <v>0</v>
      </c>
      <c r="J85" s="190">
        <f ca="1">IFERROR(__xludf.DUMMYFUNCTION("IMPORTRANGE(""https://docs.google.com/spreadsheets/d/1SX6NBoVAgQJ6U1MVXOaj8PK2l7WJ3RER9xtqwdhxkhw/edit?usp=sharing"",""ปทุมธานี!J25"")"),0)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IFERROR(__xludf.DUMMYFUNCTION("IMPORTRANGE(""https://docs.google.com/spreadsheets/d/1SX6NBoVAgQJ6U1MVXOaj8PK2l7WJ3RER9xtqwdhxkhw/edit?usp=sharing"",""ปทุมธานี!I26"")"),0)</f>
        <v>0</v>
      </c>
      <c r="J86" s="205">
        <f ca="1">IFERROR(__xludf.DUMMYFUNCTION("IMPORTRANGE(""https://docs.google.com/spreadsheets/d/1SX6NBoVAgQJ6U1MVXOaj8PK2l7WJ3RER9xtqwdhxkhw/edit?usp=sharing"",""ปทุมธานี!J26"")"),0)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IFERROR(__xludf.DUMMYFUNCTION("IMPORTRANGE(""https://docs.google.com/spreadsheets/d/1SX6NBoVAgQJ6U1MVXOaj8PK2l7WJ3RER9xtqwdhxkhw/edit?usp=sharing"",""ปทุมธานี!I27"")"),0)</f>
        <v>0</v>
      </c>
      <c r="J87" s="205">
        <f ca="1">IFERROR(__xludf.DUMMYFUNCTION("IMPORTRANGE(""https://docs.google.com/spreadsheets/d/1SX6NBoVAgQJ6U1MVXOaj8PK2l7WJ3RER9xtqwdhxkhw/edit?usp=sharing"",""ปทุมธานี!J27"")"),0)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IFERROR(__xludf.DUMMYFUNCTION("IMPORTRANGE(""https://docs.google.com/spreadsheets/d/1SX6NBoVAgQJ6U1MVXOaj8PK2l7WJ3RER9xtqwdhxkhw/edit?usp=sharing"",""ปทุมธานี!I28"")"),0)</f>
        <v>0</v>
      </c>
      <c r="J88" s="205">
        <f ca="1">IFERROR(__xludf.DUMMYFUNCTION("IMPORTRANGE(""https://docs.google.com/spreadsheets/d/1SX6NBoVAgQJ6U1MVXOaj8PK2l7WJ3RER9xtqwdhxkhw/edit?usp=sharing"",""ปทุมธานี!J28"")"),0)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IFERROR(__xludf.DUMMYFUNCTION("IMPORTRANGE(""https://docs.google.com/spreadsheets/d/1SX6NBoVAgQJ6U1MVXOaj8PK2l7WJ3RER9xtqwdhxkhw/edit?usp=sharing"",""ปทุมธานี!J29"")"),0)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IFERROR(__xludf.DUMMYFUNCTION("IMPORTRANGE(""https://docs.google.com/spreadsheets/d/1Yj_ptqi66GCucihVvJfMjLAmec39IyEx_6qawtMGysU/edit?usp=sharing"",""สบก!AR67"")"),0)</f>
        <v>0</v>
      </c>
      <c r="N98" s="170">
        <f ca="1">IFERROR(__xludf.DUMMYFUNCTION("IMPORTRANGE(""https://docs.google.com/spreadsheets/d/1Yj_ptqi66GCucihVvJfMjLAmec39IyEx_6qawtMGysU/edit?usp=sharing"",""สบก!AS67"")"),0)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IFERROR(__xludf.DUMMYFUNCTION("IMPORTRANGE(""https://docs.google.com/spreadsheets/d/1Yj_ptqi66GCucihVvJfMjLAmec39IyEx_6qawtMGysU/edit?usp=sharing"",""สบก!AN67"")"),0)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IFERROR(__xludf.DUMMYFUNCTION("IMPORTRANGE(""https://docs.google.com/spreadsheets/d/1Yj_ptqi66GCucihVvJfMjLAmec39IyEx_6qawtMGysU/edit?usp=sharing"",""สบก!AO67"")"),0)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IFERROR(__xludf.DUMMYFUNCTION("IMPORTRANGE(""https://docs.google.com/spreadsheets/d/1SX6NBoVAgQJ6U1MVXOaj8PK2l7WJ3RER9xtqwdhxkhw/edit?usp=sharing"",""ปทุมธานี!I43"")"),0)</f>
        <v>0</v>
      </c>
      <c r="J108" s="205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IFERROR(__xludf.DUMMYFUNCTION("IMPORTRANGE(""https://docs.google.com/spreadsheets/d/1SX6NBoVAgQJ6U1MVXOaj8PK2l7WJ3RER9xtqwdhxkhw/edit?usp=sharing"",""ปทุมธานี!I44"")"),0)</f>
        <v>0</v>
      </c>
      <c r="J109" s="205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IFERROR(__xludf.DUMMYFUNCTION("IMPORTRANGE(""https://docs.google.com/spreadsheets/d/1SX6NBoVAgQJ6U1MVXOaj8PK2l7WJ3RER9xtqwdhxkhw/edit?usp=sharing"",""ปทุมธานี!I45"")"),0)</f>
        <v>0</v>
      </c>
      <c r="J110" s="205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IFERROR(__xludf.DUMMYFUNCTION("IMPORTRANGE(""https://docs.google.com/spreadsheets/d/1SX6NBoVAgQJ6U1MVXOaj8PK2l7WJ3RER9xtqwdhxkhw/edit?usp=sharing"",""ปทุมธานี!I46"")"),0)</f>
        <v>0</v>
      </c>
      <c r="J111" s="205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IFERROR(__xludf.DUMMYFUNCTION("IMPORTRANGE(""https://docs.google.com/spreadsheets/d/1SX6NBoVAgQJ6U1MVXOaj8PK2l7WJ3RER9xtqwdhxkhw/edit?usp=sharing"",""ปทุมธานี!I47"")"),0)</f>
        <v>0</v>
      </c>
      <c r="J112" s="205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IFERROR(__xludf.DUMMYFUNCTION("IMPORTRANGE(""https://docs.google.com/spreadsheets/d/1SX6NBoVAgQJ6U1MVXOaj8PK2l7WJ3RER9xtqwdhxkhw/edit?usp=sharing"",""ปทุมธานี!I48"")"),0)</f>
        <v>0</v>
      </c>
      <c r="J113" s="205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IFERROR(__xludf.DUMMYFUNCTION("IMPORTRANGE(""https://docs.google.com/spreadsheets/d/1Yj_ptqi66GCucihVvJfMjLAmec39IyEx_6qawtMGysU/edit?usp=sharing"",""สบก!BA67"")"),0)</f>
        <v>0</v>
      </c>
      <c r="N122" s="170">
        <f ca="1">IFERROR(__xludf.DUMMYFUNCTION("IMPORTRANGE(""https://docs.google.com/spreadsheets/d/1Yj_ptqi66GCucihVvJfMjLAmec39IyEx_6qawtMGysU/edit?usp=sharing"",""สบก!BB67"")"),0)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IFERROR(__xludf.DUMMYFUNCTION("IMPORTRANGE(""https://docs.google.com/spreadsheets/d/1Yj_ptqi66GCucihVvJfMjLAmec39IyEx_6qawtMGysU/edit?usp=sharing"",""สบก!AW67"")"),0)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IFERROR(__xludf.DUMMYFUNCTION("IMPORTRANGE(""https://docs.google.com/spreadsheets/d/1Yj_ptqi66GCucihVvJfMjLAmec39IyEx_6qawtMGysU/edit?usp=sharing"",""สบก!AX67"")"),0)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255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IFERROR(__xludf.DUMMYFUNCTION("IMPORTRANGE(""https://docs.google.com/spreadsheets/d/1SX6NBoVAgQJ6U1MVXOaj8PK2l7WJ3RER9xtqwdhxkhw/edit?usp=sharing"",""ปทุมธานี!I62"")"),0)</f>
        <v>0</v>
      </c>
      <c r="J132" s="205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IFERROR(__xludf.DUMMYFUNCTION("IMPORTRANGE(""https://docs.google.com/spreadsheets/d/1SX6NBoVAgQJ6U1MVXOaj8PK2l7WJ3RER9xtqwdhxkhw/edit?usp=sharing"",""ปทุมธานี!I63"")"),0)</f>
        <v>0</v>
      </c>
      <c r="J133" s="205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668300</v>
      </c>
      <c r="M140" s="152">
        <f t="shared" ca="1" si="64"/>
        <v>362450</v>
      </c>
      <c r="N140" s="152">
        <f t="shared" ca="1" si="64"/>
        <v>273420</v>
      </c>
      <c r="O140" s="151">
        <f t="shared" ref="O140:O142" ca="1" si="65">IF(L140&gt;0,N140*100/L140,0)</f>
        <v>40.912763728864284</v>
      </c>
      <c r="P140" s="151">
        <f t="shared" ref="P140:P142" ca="1" si="66">IF(M140&gt;0,N140*100/M140,0)</f>
        <v>75.436611946475381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668300</v>
      </c>
      <c r="M142" s="157">
        <f t="shared" ca="1" si="68"/>
        <v>362450</v>
      </c>
      <c r="N142" s="157">
        <f t="shared" ca="1" si="68"/>
        <v>273420</v>
      </c>
      <c r="O142" s="156">
        <f t="shared" ca="1" si="65"/>
        <v>40.912763728864284</v>
      </c>
      <c r="P142" s="156">
        <f t="shared" ca="1" si="66"/>
        <v>75.436611946475381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668300</v>
      </c>
      <c r="M144" s="169">
        <f ca="1">IFERROR(__xludf.DUMMYFUNCTION("IMPORTRANGE(""https://docs.google.com/spreadsheets/d/1Yj_ptqi66GCucihVvJfMjLAmec39IyEx_6qawtMGysU/edit?usp=sharing"",""สบก!BJ67"")"),362450)</f>
        <v>362450</v>
      </c>
      <c r="N144" s="170">
        <f ca="1">IFERROR(__xludf.DUMMYFUNCTION("IMPORTRANGE(""https://docs.google.com/spreadsheets/d/1Yj_ptqi66GCucihVvJfMjLAmec39IyEx_6qawtMGysU/edit?usp=sharing"",""สบก!BK67"")"),273420)</f>
        <v>273420</v>
      </c>
      <c r="O144" s="170">
        <f ca="1">IF(L144&gt;0,N144*100/L144,0)</f>
        <v>40.912763728864284</v>
      </c>
      <c r="P144" s="170">
        <f ca="1">IF(M144&gt;0,N144*100/M144,0)</f>
        <v>75.436611946475381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IFERROR(__xludf.DUMMYFUNCTION("IMPORTRANGE(""https://docs.google.com/spreadsheets/d/1Yj_ptqi66GCucihVvJfMjLAmec39IyEx_6qawtMGysU/edit?usp=sharing"",""สบก!BF67"")"),448300)</f>
        <v>448300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IFERROR(__xludf.DUMMYFUNCTION("IMPORTRANGE(""https://docs.google.com/spreadsheets/d/1Yj_ptqi66GCucihVvJfMjLAmec39IyEx_6qawtMGysU/edit?usp=sharing"",""สบก!BG67"")"),220000)</f>
        <v>220000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IFERROR(__xludf.DUMMYFUNCTION("IMPORTRANGE(""https://docs.google.com/spreadsheets/d/1SX6NBoVAgQJ6U1MVXOaj8PK2l7WJ3RER9xtqwdhxkhw/edit?usp=sharing"",""ปทุมธานี!J79"")"),0)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IFERROR(__xludf.DUMMYFUNCTION("IMPORTRANGE(""https://docs.google.com/spreadsheets/d/1SX6NBoVAgQJ6U1MVXOaj8PK2l7WJ3RER9xtqwdhxkhw/edit?usp=sharing"",""ปทุมธานี!J80"")"),1)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IFERROR(__xludf.DUMMYFUNCTION("IMPORTRANGE(""https://docs.google.com/spreadsheets/d/1SX6NBoVAgQJ6U1MVXOaj8PK2l7WJ3RER9xtqwdhxkhw/edit?usp=sharing"",""ปทุมธานี!J81"")"),1)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IFERROR(__xludf.DUMMYFUNCTION("IMPORTRANGE(""https://docs.google.com/spreadsheets/d/1SX6NBoVAgQJ6U1MVXOaj8PK2l7WJ3RER9xtqwdhxkhw/edit?usp=sharing"",""ปทุมธานี!J82"")"),1)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IFERROR(__xludf.DUMMYFUNCTION("IMPORTRANGE(""https://docs.google.com/spreadsheets/d/1SX6NBoVAgQJ6U1MVXOaj8PK2l7WJ3RER9xtqwdhxkhw/edit?usp=sharing"",""ปทุมธานี!I83"")"),4)</f>
        <v>4</v>
      </c>
      <c r="J158" s="190">
        <f ca="1">IFERROR(__xludf.DUMMYFUNCTION("IMPORTRANGE(""https://docs.google.com/spreadsheets/d/1SX6NBoVAgQJ6U1MVXOaj8PK2l7WJ3RER9xtqwdhxkhw/edit?usp=sharing"",""ปทุมธานี!J83"")"),1)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IFERROR(__xludf.DUMMYFUNCTION("IMPORTRANGE(""https://docs.google.com/spreadsheets/d/1SX6NBoVAgQJ6U1MVXOaj8PK2l7WJ3RER9xtqwdhxkhw/edit?usp=sharing"",""ปทุมธานี!J84"")"),41)</f>
        <v>41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IFERROR(__xludf.DUMMYFUNCTION("IMPORTRANGE(""https://docs.google.com/spreadsheets/d/1SX6NBoVAgQJ6U1MVXOaj8PK2l7WJ3RER9xtqwdhxkhw/edit?usp=sharing"",""ปทุมธานี!J85"")"),41)</f>
        <v>41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IFERROR(__xludf.DUMMYFUNCTION("IMPORTRANGE(""https://docs.google.com/spreadsheets/d/1SX6NBoVAgQJ6U1MVXOaj8PK2l7WJ3RER9xtqwdhxkhw/edit?usp=sharing"",""ปทุมธานี!J86"")"),0)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IFERROR(__xludf.DUMMYFUNCTION("IMPORTRANGE(""https://docs.google.com/spreadsheets/d/1SX6NBoVAgQJ6U1MVXOaj8PK2l7WJ3RER9xtqwdhxkhw/edit?usp=sharing"",""ปทุมธานี!J87"")"),0)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IFERROR(__xludf.DUMMYFUNCTION("IMPORTRANGE(""https://docs.google.com/spreadsheets/d/1SX6NBoVAgQJ6U1MVXOaj8PK2l7WJ3RER9xtqwdhxkhw/edit?usp=sharing"",""ปทุมธานี!J88"")"),0)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IFERROR(__xludf.DUMMYFUNCTION("IMPORTRANGE(""https://docs.google.com/spreadsheets/d/1SX6NBoVAgQJ6U1MVXOaj8PK2l7WJ3RER9xtqwdhxkhw/edit?usp=sharing"",""ปทุมธานี!I89"")"),1)</f>
        <v>1</v>
      </c>
      <c r="J164" s="284">
        <f ca="1">IFERROR(__xludf.DUMMYFUNCTION("IMPORTRANGE(""https://docs.google.com/spreadsheets/d/1SX6NBoVAgQJ6U1MVXOaj8PK2l7WJ3RER9xtqwdhxkhw/edit?usp=sharing"",""ปทุมธานี!J89"")"),0)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IFERROR(__xludf.DUMMYFUNCTION("IMPORTRANGE(""https://docs.google.com/spreadsheets/d/1SX6NBoVAgQJ6U1MVXOaj8PK2l7WJ3RER9xtqwdhxkhw/edit?usp=sharing"",""ปทุมธานี!J94"")"),0)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IFERROR(__xludf.DUMMYFUNCTION("IMPORTRANGE(""https://docs.google.com/spreadsheets/d/1SX6NBoVAgQJ6U1MVXOaj8PK2l7WJ3RER9xtqwdhxkhw/edit?usp=sharing"",""ปทุมธานี!J95"")"),1)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IFERROR(__xludf.DUMMYFUNCTION("IMPORTRANGE(""https://docs.google.com/spreadsheets/d/1SX6NBoVAgQJ6U1MVXOaj8PK2l7WJ3RER9xtqwdhxkhw/edit?usp=sharing"",""ปทุมธานี!J96"")"),1)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IFERROR(__xludf.DUMMYFUNCTION("IMPORTRANGE(""https://docs.google.com/spreadsheets/d/1SX6NBoVAgQJ6U1MVXOaj8PK2l7WJ3RER9xtqwdhxkhw/edit?usp=sharing"",""ปทุมธานี!J97"")"),0)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IFERROR(__xludf.DUMMYFUNCTION("IMPORTRANGE(""https://docs.google.com/spreadsheets/d/1SX6NBoVAgQJ6U1MVXOaj8PK2l7WJ3RER9xtqwdhxkhw/edit?usp=sharing"",""ปทุมธานี!I98"")"),1)</f>
        <v>1</v>
      </c>
      <c r="J173" s="190">
        <f ca="1">IFERROR(__xludf.DUMMYFUNCTION("IMPORTRANGE(""https://docs.google.com/spreadsheets/d/1SX6NBoVAgQJ6U1MVXOaj8PK2l7WJ3RER9xtqwdhxkhw/edit?usp=sharing"",""ปทุมธานี!J98"")"),0)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IFERROR(__xludf.DUMMYFUNCTION("IMPORTRANGE(""https://docs.google.com/spreadsheets/d/1SX6NBoVAgQJ6U1MVXOaj8PK2l7WJ3RER9xtqwdhxkhw/edit?usp=sharing"",""ปทุมธานี!J99"")"),0)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IFERROR(__xludf.DUMMYFUNCTION("IMPORTRANGE(""https://docs.google.com/spreadsheets/d/1SX6NBoVAgQJ6U1MVXOaj8PK2l7WJ3RER9xtqwdhxkhw/edit?usp=sharing"",""ปทุมธานี!J100"")"),0)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IFERROR(__xludf.DUMMYFUNCTION("IMPORTRANGE(""https://docs.google.com/spreadsheets/d/1SX6NBoVAgQJ6U1MVXOaj8PK2l7WJ3RER9xtqwdhxkhw/edit?usp=sharing"",""ปทุมธานี!I101"")"),0)</f>
        <v>0</v>
      </c>
      <c r="J176" s="284">
        <f ca="1">IFERROR(__xludf.DUMMYFUNCTION("IMPORTRANGE(""https://docs.google.com/spreadsheets/d/1SX6NBoVAgQJ6U1MVXOaj8PK2l7WJ3RER9xtqwdhxkhw/edit?usp=sharing"",""ปทุมธานี!J101"")"),0)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IFERROR(__xludf.DUMMYFUNCTION("IMPORTRANGE(""https://docs.google.com/spreadsheets/d/1SX6NBoVAgQJ6U1MVXOaj8PK2l7WJ3RER9xtqwdhxkhw/edit?usp=sharing"",""ปทุมธานี!I110"")"),0)</f>
        <v>0</v>
      </c>
      <c r="J185" s="205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IFERROR(__xludf.DUMMYFUNCTION("IMPORTRANGE(""https://docs.google.com/spreadsheets/d/1SX6NBoVAgQJ6U1MVXOaj8PK2l7WJ3RER9xtqwdhxkhw/edit?usp=sharing"",""ปทุมธานี!I111"")"),0)</f>
        <v>0</v>
      </c>
      <c r="J186" s="205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IFERROR(__xludf.DUMMYFUNCTION("IMPORTRANGE(""https://docs.google.com/spreadsheets/d/1SX6NBoVAgQJ6U1MVXOaj8PK2l7WJ3RER9xtqwdhxkhw/edit?usp=sharing"",""ปทุมธานี!I114"")"),20000)</f>
        <v>20000</v>
      </c>
      <c r="J189" s="284">
        <f ca="1">IFERROR(__xludf.DUMMYFUNCTION("IMPORTRANGE(""https://docs.google.com/spreadsheets/d/1SX6NBoVAgQJ6U1MVXOaj8PK2l7WJ3RER9xtqwdhxkhw/edit?usp=sharing"",""ปทุมธานี!J114"")"),0)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IFERROR(__xludf.DUMMYFUNCTION("IMPORTRANGE(""https://docs.google.com/spreadsheets/d/1SX6NBoVAgQJ6U1MVXOaj8PK2l7WJ3RER9xtqwdhxkhw/edit?usp=sharing"",""ปทุมธานี!J119"")"),0)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IFERROR(__xludf.DUMMYFUNCTION("IMPORTRANGE(""https://docs.google.com/spreadsheets/d/1SX6NBoVAgQJ6U1MVXOaj8PK2l7WJ3RER9xtqwdhxkhw/edit?usp=sharing"",""ปทุมธานี!J120"")"),1)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IFERROR(__xludf.DUMMYFUNCTION("IMPORTRANGE(""https://docs.google.com/spreadsheets/d/1SX6NBoVAgQJ6U1MVXOaj8PK2l7WJ3RER9xtqwdhxkhw/edit?usp=sharing"",""ปทุมธานี!J121"")"),1)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IFERROR(__xludf.DUMMYFUNCTION("IMPORTRANGE(""https://docs.google.com/spreadsheets/d/1SX6NBoVAgQJ6U1MVXOaj8PK2l7WJ3RER9xtqwdhxkhw/edit?usp=sharing"",""ปทุมธานี!J122"")"),0)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IFERROR(__xludf.DUMMYFUNCTION("IMPORTRANGE(""https://docs.google.com/spreadsheets/d/1SX6NBoVAgQJ6U1MVXOaj8PK2l7WJ3RER9xtqwdhxkhw/edit?usp=sharing"",""ปทุมธานี!I124"")"),20000)</f>
        <v>20000</v>
      </c>
      <c r="J199" s="190">
        <f ca="1">IFERROR(__xludf.DUMMYFUNCTION("IMPORTRANGE(""https://docs.google.com/spreadsheets/d/1SX6NBoVAgQJ6U1MVXOaj8PK2l7WJ3RER9xtqwdhxkhw/edit?usp=sharing"",""ปทุมธานี!J124"")"),0)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IFERROR(__xludf.DUMMYFUNCTION("IMPORTRANGE(""https://docs.google.com/spreadsheets/d/1SX6NBoVAgQJ6U1MVXOaj8PK2l7WJ3RER9xtqwdhxkhw/edit?usp=sharing"",""ปทุมธานี!I125"")"),20000)</f>
        <v>20000</v>
      </c>
      <c r="J200" s="190">
        <f ca="1">IFERROR(__xludf.DUMMYFUNCTION("IMPORTRANGE(""https://docs.google.com/spreadsheets/d/1SX6NBoVAgQJ6U1MVXOaj8PK2l7WJ3RER9xtqwdhxkhw/edit?usp=sharing"",""ปทุมธานี!J125"")"),0)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IFERROR(__xludf.DUMMYFUNCTION("IMPORTRANGE(""https://docs.google.com/spreadsheets/d/1SX6NBoVAgQJ6U1MVXOaj8PK2l7WJ3RER9xtqwdhxkhw/edit?usp=sharing"",""ปทุมธานี!I126"")"),0)</f>
        <v>0</v>
      </c>
      <c r="J201" s="190">
        <f ca="1">IFERROR(__xludf.DUMMYFUNCTION("IMPORTRANGE(""https://docs.google.com/spreadsheets/d/1SX6NBoVAgQJ6U1MVXOaj8PK2l7WJ3RER9xtqwdhxkhw/edit?usp=sharing"",""ปทุมธานี!J126"")"),0)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IFERROR(__xludf.DUMMYFUNCTION("IMPORTRANGE(""https://docs.google.com/spreadsheets/d/1SX6NBoVAgQJ6U1MVXOaj8PK2l7WJ3RER9xtqwdhxkhw/edit?usp=sharing"",""ปทุมธานี!J127"")"),0)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IFERROR(__xludf.DUMMYFUNCTION("IMPORTRANGE(""https://docs.google.com/spreadsheets/d/1SX6NBoVAgQJ6U1MVXOaj8PK2l7WJ3RER9xtqwdhxkhw/edit?usp=sharing"",""ปทุมธานี!J128"")"),0)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IFERROR(__xludf.DUMMYFUNCTION("IMPORTRANGE(""https://docs.google.com/spreadsheets/d/1SX6NBoVAgQJ6U1MVXOaj8PK2l7WJ3RER9xtqwdhxkhw/edit?usp=sharing"",""ปทุมธานี!I129"")"),30)</f>
        <v>30</v>
      </c>
      <c r="J204" s="284">
        <f ca="1">IFERROR(__xludf.DUMMYFUNCTION("IMPORTRANGE(""https://docs.google.com/spreadsheets/d/1SX6NBoVAgQJ6U1MVXOaj8PK2l7WJ3RER9xtqwdhxkhw/edit?usp=sharing"",""ปทุมธานี!J129"")"),30)</f>
        <v>30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IFERROR(__xludf.DUMMYFUNCTION("IMPORTRANGE(""https://docs.google.com/spreadsheets/d/1SX6NBoVAgQJ6U1MVXOaj8PK2l7WJ3RER9xtqwdhxkhw/edit?usp=sharing"",""ปทุมธานี!J135"")"),1)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IFERROR(__xludf.DUMMYFUNCTION("IMPORTRANGE(""https://docs.google.com/spreadsheets/d/1SX6NBoVAgQJ6U1MVXOaj8PK2l7WJ3RER9xtqwdhxkhw/edit?usp=sharing"",""ปทุมธานี!J136"")"),1)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IFERROR(__xludf.DUMMYFUNCTION("IMPORTRANGE(""https://docs.google.com/spreadsheets/d/1SX6NBoVAgQJ6U1MVXOaj8PK2l7WJ3RER9xtqwdhxkhw/edit?usp=sharing"",""ปทุมธานี!J137"")"),1)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IFERROR(__xludf.DUMMYFUNCTION("IMPORTRANGE(""https://docs.google.com/spreadsheets/d/1SX6NBoVAgQJ6U1MVXOaj8PK2l7WJ3RER9xtqwdhxkhw/edit?usp=sharing"",""ปทุมธานี!I138"")"),30)</f>
        <v>30</v>
      </c>
      <c r="J213" s="205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IFERROR(__xludf.DUMMYFUNCTION("IMPORTRANGE(""https://docs.google.com/spreadsheets/d/1SX6NBoVAgQJ6U1MVXOaj8PK2l7WJ3RER9xtqwdhxkhw/edit?usp=sharing"",""ปทุมธานี!I140"")"),0)</f>
        <v>0</v>
      </c>
      <c r="J215" s="205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IFERROR(__xludf.DUMMYFUNCTION("IMPORTRANGE(""https://docs.google.com/spreadsheets/d/1SX6NBoVAgQJ6U1MVXOaj8PK2l7WJ3RER9xtqwdhxkhw/edit?usp=sharing"",""ปทุมธานี!I141"")"),1)</f>
        <v>1</v>
      </c>
      <c r="J216" s="205">
        <f ca="1">IFERROR(__xludf.DUMMYFUNCTION("IMPORTRANGE(""https://docs.google.com/spreadsheets/d/1SX6NBoVAgQJ6U1MVXOaj8PK2l7WJ3RER9xtqwdhxkhw/edit?usp=sharing"",""ปทุมธานี!J141"")"),0)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IFERROR(__xludf.DUMMYFUNCTION("IMPORTRANGE(""https://docs.google.com/spreadsheets/d/1Yj_ptqi66GCucihVvJfMjLAmec39IyEx_6qawtMGysU/edit?usp=sharing"",""สบก!BS67"")"),21125)</f>
        <v>21125</v>
      </c>
      <c r="N224" s="170">
        <f ca="1">IFERROR(__xludf.DUMMYFUNCTION("IMPORTRANGE(""https://docs.google.com/spreadsheets/d/1Yj_ptqi66GCucihVvJfMjLAmec39IyEx_6qawtMGysU/edit?usp=sharing"",""สบก!BT67"")"),21125)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IFERROR(__xludf.DUMMYFUNCTION("IMPORTRANGE(""https://docs.google.com/spreadsheets/d/1Yj_ptqi66GCucihVvJfMjLAmec39IyEx_6qawtMGysU/edit?usp=sharing"",""สบก!BO67"")"),0)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IFERROR(__xludf.DUMMYFUNCTION("IMPORTRANGE(""https://docs.google.com/spreadsheets/d/1Yj_ptqi66GCucihVvJfMjLAmec39IyEx_6qawtMGysU/edit?usp=sharing"",""สบก!BP67"")"),21125)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IFERROR(__xludf.DUMMYFUNCTION("IMPORTRANGE(""https://docs.google.com/spreadsheets/d/1SX6NBoVAgQJ6U1MVXOaj8PK2l7WJ3RER9xtqwdhxkhw/edit?usp=sharing"",""ปทุมธานี!J151"")"),0)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IFERROR(__xludf.DUMMYFUNCTION("IMPORTRANGE(""https://docs.google.com/spreadsheets/d/1SX6NBoVAgQJ6U1MVXOaj8PK2l7WJ3RER9xtqwdhxkhw/edit?usp=sharing"",""ปทุมธานี!J152"")"),1)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IFERROR(__xludf.DUMMYFUNCTION("IMPORTRANGE(""https://docs.google.com/spreadsheets/d/1SX6NBoVAgQJ6U1MVXOaj8PK2l7WJ3RER9xtqwdhxkhw/edit?usp=sharing"",""ปทุมธานี!J153"")"),1)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IFERROR(__xludf.DUMMYFUNCTION("IMPORTRANGE(""https://docs.google.com/spreadsheets/d/1SX6NBoVAgQJ6U1MVXOaj8PK2l7WJ3RER9xtqwdhxkhw/edit?usp=sharing"",""ปทุมธานี!J154"")"),1)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IFERROR(__xludf.DUMMYFUNCTION("IMPORTRANGE(""https://docs.google.com/spreadsheets/d/1SX6NBoVAgQJ6U1MVXOaj8PK2l7WJ3RER9xtqwdhxkhw/edit?usp=sharing"",""ปทุมธานี!I155"")"),15)</f>
        <v>15</v>
      </c>
      <c r="J235" s="190">
        <f ca="1">IFERROR(__xludf.DUMMYFUNCTION("IMPORTRANGE(""https://docs.google.com/spreadsheets/d/1SX6NBoVAgQJ6U1MVXOaj8PK2l7WJ3RER9xtqwdhxkhw/edit?usp=sharing"",""ปทุมธานี!J155"")"),15)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IFERROR(__xludf.DUMMYFUNCTION("IMPORTRANGE(""https://docs.google.com/spreadsheets/d/1SX6NBoVAgQJ6U1MVXOaj8PK2l7WJ3RER9xtqwdhxkhw/edit?usp=sharing"",""ปทุมธานี!J156"")"),0)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IFERROR(__xludf.DUMMYFUNCTION("IMPORTRANGE(""https://docs.google.com/spreadsheets/d/1SX6NBoVAgQJ6U1MVXOaj8PK2l7WJ3RER9xtqwdhxkhw/edit?usp=sharing"",""ปทุมธานี!J157"")"),0)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IFERROR(__xludf.DUMMYFUNCTION("IMPORTRANGE(""https://docs.google.com/spreadsheets/d/1SX6NBoVAgQJ6U1MVXOaj8PK2l7WJ3RER9xtqwdhxkhw/edit?usp=sharing"",""ปทุมธานี!J159"")"),"")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IFERROR(__xludf.DUMMYFUNCTION("IMPORTRANGE(""https://docs.google.com/spreadsheets/d/1SX6NBoVAgQJ6U1MVXOaj8PK2l7WJ3RER9xtqwdhxkhw/edit?usp=sharing"",""ปทุมธานี!J161"")"),0)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IFERROR(__xludf.DUMMYFUNCTION("IMPORTRANGE(""https://docs.google.com/spreadsheets/d/1SX6NBoVAgQJ6U1MVXOaj8PK2l7WJ3RER9xtqwdhxkhw/edit?usp=sharing"",""ปทุมธานี!J162"")"),0)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IFERROR(__xludf.DUMMYFUNCTION("IMPORTRANGE(""https://docs.google.com/spreadsheets/d/1SX6NBoVAgQJ6U1MVXOaj8PK2l7WJ3RER9xtqwdhxkhw/edit?usp=sharing"",""ปทุมธานี!J163"")"),0)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IFERROR(__xludf.DUMMYFUNCTION("IMPORTRANGE(""https://docs.google.com/spreadsheets/d/1SX6NBoVAgQJ6U1MVXOaj8PK2l7WJ3RER9xtqwdhxkhw/edit?usp=sharing"",""ปทุมธานี!I164"")"),0)</f>
        <v>0</v>
      </c>
      <c r="J244" s="189">
        <f ca="1">IFERROR(__xludf.DUMMYFUNCTION("IMPORTRANGE(""https://docs.google.com/spreadsheets/d/1SX6NBoVAgQJ6U1MVXOaj8PK2l7WJ3RER9xtqwdhxkhw/edit?usp=sharing"",""ปทุมธานี!J164"")"),0)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IFERROR(__xludf.DUMMYFUNCTION("IMPORTRANGE(""https://docs.google.com/spreadsheets/d/1SX6NBoVAgQJ6U1MVXOaj8PK2l7WJ3RER9xtqwdhxkhw/edit?usp=sharing"",""ปทุมธานี!J165"")"),0)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IFERROR(__xludf.DUMMYFUNCTION("IMPORTRANGE(""https://docs.google.com/spreadsheets/d/1SX6NBoVAgQJ6U1MVXOaj8PK2l7WJ3RER9xtqwdhxkhw/edit?usp=sharing"",""ปทุมธานี!I169"")"),0)</f>
        <v>0</v>
      </c>
      <c r="J249" s="316">
        <f ca="1">IFERROR(__xludf.DUMMYFUNCTION("IMPORTRANGE(""https://docs.google.com/spreadsheets/d/1SX6NBoVAgQJ6U1MVXOaj8PK2l7WJ3RER9xtqwdhxkhw/edit?usp=sharing"",""ปทุมธานี!J169"")"),0)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IFERROR(__xludf.DUMMYFUNCTION("IMPORTRANGE(""https://docs.google.com/spreadsheets/d/1Yj_ptqi66GCucihVvJfMjLAmec39IyEx_6qawtMGysU/edit?usp=sharing"",""สบก!CB67"")"),0)</f>
        <v>0</v>
      </c>
      <c r="N254" s="170">
        <f ca="1">IFERROR(__xludf.DUMMYFUNCTION("IMPORTRANGE(""https://docs.google.com/spreadsheets/d/1Yj_ptqi66GCucihVvJfMjLAmec39IyEx_6qawtMGysU/edit?usp=sharing"",""สบก!CC67"")"),0)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IFERROR(__xludf.DUMMYFUNCTION("IMPORTRANGE(""https://docs.google.com/spreadsheets/d/1Yj_ptqi66GCucihVvJfMjLAmec39IyEx_6qawtMGysU/edit?usp=sharing"",""สบก!BX67"")"),0)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IFERROR(__xludf.DUMMYFUNCTION("IMPORTRANGE(""https://docs.google.com/spreadsheets/d/1Yj_ptqi66GCucihVvJfMjLAmec39IyEx_6qawtMGysU/edit?usp=sharing"",""สบก!BY67"")"),0)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IFERROR(__xludf.DUMMYFUNCTION("IMPORTRANGE(""https://docs.google.com/spreadsheets/d/1SX6NBoVAgQJ6U1MVXOaj8PK2l7WJ3RER9xtqwdhxkhw/edit?usp=sharing"",""ปทุมธานี!J175"")"),0)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IFERROR(__xludf.DUMMYFUNCTION("IMPORTRANGE(""https://docs.google.com/spreadsheets/d/1SX6NBoVAgQJ6U1MVXOaj8PK2l7WJ3RER9xtqwdhxkhw/edit?usp=sharing"",""ปทุมธานี!J176"")"),0)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IFERROR(__xludf.DUMMYFUNCTION("IMPORTRANGE(""https://docs.google.com/spreadsheets/d/1SX6NBoVAgQJ6U1MVXOaj8PK2l7WJ3RER9xtqwdhxkhw/edit?usp=sharing"",""ปทุมธานี!J177"")"),0)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IFERROR(__xludf.DUMMYFUNCTION("IMPORTRANGE(""https://docs.google.com/spreadsheets/d/1SX6NBoVAgQJ6U1MVXOaj8PK2l7WJ3RER9xtqwdhxkhw/edit?usp=sharing"",""ปทุมธานี!J178"")"),0)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IFERROR(__xludf.DUMMYFUNCTION("IMPORTRANGE(""https://docs.google.com/spreadsheets/d/1SX6NBoVAgQJ6U1MVXOaj8PK2l7WJ3RER9xtqwdhxkhw/edit?usp=sharing"",""ปทุมธานี!I179"")"),0)</f>
        <v>0</v>
      </c>
      <c r="J264" s="190">
        <f ca="1">IFERROR(__xludf.DUMMYFUNCTION("IMPORTRANGE(""https://docs.google.com/spreadsheets/d/1SX6NBoVAgQJ6U1MVXOaj8PK2l7WJ3RER9xtqwdhxkhw/edit?usp=sharing"",""ปทุมธานี!J179"")"),0)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IFERROR(__xludf.DUMMYFUNCTION("IMPORTRANGE(""https://docs.google.com/spreadsheets/d/1SX6NBoVAgQJ6U1MVXOaj8PK2l7WJ3RER9xtqwdhxkhw/edit?usp=sharing"",""ปทุมธานี!I180"")"),0)</f>
        <v>0</v>
      </c>
      <c r="J265" s="190">
        <f ca="1">IFERROR(__xludf.DUMMYFUNCTION("IMPORTRANGE(""https://docs.google.com/spreadsheets/d/1SX6NBoVAgQJ6U1MVXOaj8PK2l7WJ3RER9xtqwdhxkhw/edit?usp=sharing"",""ปทุมธานี!J180"")"),0)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IFERROR(__xludf.DUMMYFUNCTION("IMPORTRANGE(""https://docs.google.com/spreadsheets/d/1SX6NBoVAgQJ6U1MVXOaj8PK2l7WJ3RER9xtqwdhxkhw/edit?usp=sharing"",""ปทุมธานี!I181"")"),0)</f>
        <v>0</v>
      </c>
      <c r="J266" s="190">
        <f ca="1">IFERROR(__xludf.DUMMYFUNCTION("IMPORTRANGE(""https://docs.google.com/spreadsheets/d/1SX6NBoVAgQJ6U1MVXOaj8PK2l7WJ3RER9xtqwdhxkhw/edit?usp=sharing"",""ปทุมธานี!J181"")"),0)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IFERROR(__xludf.DUMMYFUNCTION("IMPORTRANGE(""https://docs.google.com/spreadsheets/d/1SX6NBoVAgQJ6U1MVXOaj8PK2l7WJ3RER9xtqwdhxkhw/edit?usp=sharing"",""ปทุมธานี!I182"")"),0)</f>
        <v>0</v>
      </c>
      <c r="J267" s="190">
        <f ca="1">IFERROR(__xludf.DUMMYFUNCTION("IMPORTRANGE(""https://docs.google.com/spreadsheets/d/1SX6NBoVAgQJ6U1MVXOaj8PK2l7WJ3RER9xtqwdhxkhw/edit?usp=sharing"",""ปทุมธานี!J182"")"),0)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IFERROR(__xludf.DUMMYFUNCTION("IMPORTRANGE(""https://docs.google.com/spreadsheets/d/1SX6NBoVAgQJ6U1MVXOaj8PK2l7WJ3RER9xtqwdhxkhw/edit?usp=sharing"",""ปทุมธานี!J183"")"),0)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IFERROR(__xludf.DUMMYFUNCTION("IMPORTRANGE(""https://docs.google.com/spreadsheets/d/1SX6NBoVAgQJ6U1MVXOaj8PK2l7WJ3RER9xtqwdhxkhw/edit?usp=sharing"",""ปทุมธานี!J184"")"),0)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IFERROR(__xludf.DUMMYFUNCTION("IMPORTRANGE(""https://docs.google.com/spreadsheets/d/1SX6NBoVAgQJ6U1MVXOaj8PK2l7WJ3RER9xtqwdhxkhw/edit?usp=sharing"",""ปทุมธานี!I185"")"),15)</f>
        <v>15</v>
      </c>
      <c r="J270" s="316">
        <f ca="1">IFERROR(__xludf.DUMMYFUNCTION("IMPORTRANGE(""https://docs.google.com/spreadsheets/d/1SX6NBoVAgQJ6U1MVXOaj8PK2l7WJ3RER9xtqwdhxkhw/edit?usp=sharing"",""ปทุมธานี!J185"")"),0)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12700</v>
      </c>
      <c r="O271" s="151">
        <f t="shared" ref="O271:O273" ca="1" si="84">IF(L271&gt;0,N271*100/L271,0)</f>
        <v>23.007246376811594</v>
      </c>
      <c r="P271" s="151">
        <f t="shared" ref="P271:P273" ca="1" si="85">IF(M271&gt;0,N271*100/M271,0)</f>
        <v>39.379844961240309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12700</v>
      </c>
      <c r="O273" s="156">
        <f t="shared" ca="1" si="84"/>
        <v>23.007246376811594</v>
      </c>
      <c r="P273" s="156">
        <f t="shared" ca="1" si="85"/>
        <v>39.379844961240309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IFERROR(__xludf.DUMMYFUNCTION("IMPORTRANGE(""https://docs.google.com/spreadsheets/d/1Yj_ptqi66GCucihVvJfMjLAmec39IyEx_6qawtMGysU/edit?usp=sharing"",""สบก!CK67"")"),32250)</f>
        <v>32250</v>
      </c>
      <c r="N275" s="170">
        <f ca="1">IFERROR(__xludf.DUMMYFUNCTION("IMPORTRANGE(""https://docs.google.com/spreadsheets/d/1Yj_ptqi66GCucihVvJfMjLAmec39IyEx_6qawtMGysU/edit?usp=sharing"",""สบก!CL67"")"),12700)</f>
        <v>12700</v>
      </c>
      <c r="O275" s="170">
        <f ca="1">IF(L275&gt;0,N275*100/L275,0)</f>
        <v>23.007246376811594</v>
      </c>
      <c r="P275" s="170">
        <f ca="1">IF(M275&gt;0,N275*100/M275,0)</f>
        <v>39.379844961240309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IFERROR(__xludf.DUMMYFUNCTION("IMPORTRANGE(""https://docs.google.com/spreadsheets/d/1Yj_ptqi66GCucihVvJfMjLAmec39IyEx_6qawtMGysU/edit?usp=sharing"",""สบก!CG67"")"),0)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IFERROR(__xludf.DUMMYFUNCTION("IMPORTRANGE(""https://docs.google.com/spreadsheets/d/1Yj_ptqi66GCucihVvJfMjLAmec39IyEx_6qawtMGysU/edit?usp=sharing"",""สบก!CH67"")"),55200)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IFERROR(__xludf.DUMMYFUNCTION("IMPORTRANGE(""https://docs.google.com/spreadsheets/d/1SX6NBoVAgQJ6U1MVXOaj8PK2l7WJ3RER9xtqwdhxkhw/edit?usp=sharing"",""ปทุมธานี!J191"")"),0)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IFERROR(__xludf.DUMMYFUNCTION("IMPORTRANGE(""https://docs.google.com/spreadsheets/d/1SX6NBoVAgQJ6U1MVXOaj8PK2l7WJ3RER9xtqwdhxkhw/edit?usp=sharing"",""ปทุมธานี!J192"")"),1)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IFERROR(__xludf.DUMMYFUNCTION("IMPORTRANGE(""https://docs.google.com/spreadsheets/d/1SX6NBoVAgQJ6U1MVXOaj8PK2l7WJ3RER9xtqwdhxkhw/edit?usp=sharing"",""ปทุมธานี!J193"")"),1)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IFERROR(__xludf.DUMMYFUNCTION("IMPORTRANGE(""https://docs.google.com/spreadsheets/d/1SX6NBoVAgQJ6U1MVXOaj8PK2l7WJ3RER9xtqwdhxkhw/edit?usp=sharing"",""ปทุมธานี!J194"")"),0)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IFERROR(__xludf.DUMMYFUNCTION("IMPORTRANGE(""https://docs.google.com/spreadsheets/d/1SX6NBoVAgQJ6U1MVXOaj8PK2l7WJ3RER9xtqwdhxkhw/edit?usp=sharing"",""ปทุมธานี!I195"")"),15)</f>
        <v>15</v>
      </c>
      <c r="J285" s="190">
        <f ca="1">IFERROR(__xludf.DUMMYFUNCTION("IMPORTRANGE(""https://docs.google.com/spreadsheets/d/1SX6NBoVAgQJ6U1MVXOaj8PK2l7WJ3RER9xtqwdhxkhw/edit?usp=sharing"",""ปทุมธานี!J195"")"),0)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IFERROR(__xludf.DUMMYFUNCTION("IMPORTRANGE(""https://docs.google.com/spreadsheets/d/1SX6NBoVAgQJ6U1MVXOaj8PK2l7WJ3RER9xtqwdhxkhw/edit?usp=sharing"",""ปทุมธานี!J196"")"),0)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IFERROR(__xludf.DUMMYFUNCTION("IMPORTRANGE(""https://docs.google.com/spreadsheets/d/1SX6NBoVAgQJ6U1MVXOaj8PK2l7WJ3RER9xtqwdhxkhw/edit?usp=sharing"",""ปทุมธานี!J197"")"),0)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IFERROR(__xludf.DUMMYFUNCTION("IMPORTRANGE(""https://docs.google.com/spreadsheets/d/1SX6NBoVAgQJ6U1MVXOaj8PK2l7WJ3RER9xtqwdhxkhw/edit?usp=sharing"",""ปทุมธานี!I199"")"),0)</f>
        <v>0</v>
      </c>
      <c r="J289" s="316">
        <f ca="1">IFERROR(__xludf.DUMMYFUNCTION("IMPORTRANGE(""https://docs.google.com/spreadsheets/d/1SX6NBoVAgQJ6U1MVXOaj8PK2l7WJ3RER9xtqwdhxkhw/edit?usp=sharing"",""ปทุมธานี!J199"")"),0)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IFERROR(__xludf.DUMMYFUNCTION("IMPORTRANGE(""https://docs.google.com/spreadsheets/d/1Yj_ptqi66GCucihVvJfMjLAmec39IyEx_6qawtMGysU/edit?usp=sharing"",""สบก!CT67"")"),0)</f>
        <v>0</v>
      </c>
      <c r="N294" s="170">
        <f ca="1">IFERROR(__xludf.DUMMYFUNCTION("IMPORTRANGE(""https://docs.google.com/spreadsheets/d/1Yj_ptqi66GCucihVvJfMjLAmec39IyEx_6qawtMGysU/edit?usp=sharing"",""สบก!CU67"")"),0)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IFERROR(__xludf.DUMMYFUNCTION("IMPORTRANGE(""https://docs.google.com/spreadsheets/d/1Yj_ptqi66GCucihVvJfMjLAmec39IyEx_6qawtMGysU/edit?usp=sharing"",""สบก!CP67"")"),0)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IFERROR(__xludf.DUMMYFUNCTION("IMPORTRANGE(""https://docs.google.com/spreadsheets/d/1Yj_ptqi66GCucihVvJfMjLAmec39IyEx_6qawtMGysU/edit?usp=sharing"",""สบก!CQ67"")"),0)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IFERROR(__xludf.DUMMYFUNCTION("IMPORTRANGE(""https://docs.google.com/spreadsheets/d/1SX6NBoVAgQJ6U1MVXOaj8PK2l7WJ3RER9xtqwdhxkhw/edit?usp=sharing"",""ปทุมธานี!I209"")"),0)</f>
        <v>0</v>
      </c>
      <c r="J304" s="205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IFERROR(__xludf.DUMMYFUNCTION("IMPORTRANGE(""https://docs.google.com/spreadsheets/d/1SX6NBoVAgQJ6U1MVXOaj8PK2l7WJ3RER9xtqwdhxkhw/edit?usp=sharing"",""ปทุมธานี!I211"")"),0)</f>
        <v>0</v>
      </c>
      <c r="J306" s="205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IFERROR(__xludf.DUMMYFUNCTION("IMPORTRANGE(""https://docs.google.com/spreadsheets/d/1SX6NBoVAgQJ6U1MVXOaj8PK2l7WJ3RER9xtqwdhxkhw/edit?usp=sharing"",""ปทุมธานี!I214"")"),0)</f>
        <v>0</v>
      </c>
      <c r="J309" s="333">
        <f ca="1">IFERROR(__xludf.DUMMYFUNCTION("IMPORTRANGE(""https://docs.google.com/spreadsheets/d/1SX6NBoVAgQJ6U1MVXOaj8PK2l7WJ3RER9xtqwdhxkhw/edit?usp=sharing"",""ปทุมธานี!J214"")"),0)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IFERROR(__xludf.DUMMYFUNCTION("IMPORTRANGE(""https://docs.google.com/spreadsheets/d/1Yj_ptqi66GCucihVvJfMjLAmec39IyEx_6qawtMGysU/edit?usp=sharing"",""สบก!DC67"")"),0)</f>
        <v>0</v>
      </c>
      <c r="N314" s="170">
        <f ca="1">IFERROR(__xludf.DUMMYFUNCTION("IMPORTRANGE(""https://docs.google.com/spreadsheets/d/1Yj_ptqi66GCucihVvJfMjLAmec39IyEx_6qawtMGysU/edit?usp=sharing"",""สบก!DD67"")"),0)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IFERROR(__xludf.DUMMYFUNCTION("IMPORTRANGE(""https://docs.google.com/spreadsheets/d/1Yj_ptqi66GCucihVvJfMjLAmec39IyEx_6qawtMGysU/edit?usp=sharing"",""สบก!CY67"")"),0)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IFERROR(__xludf.DUMMYFUNCTION("IMPORTRANGE(""https://docs.google.com/spreadsheets/d/1Yj_ptqi66GCucihVvJfMjLAmec39IyEx_6qawtMGysU/edit?usp=sharing"",""สบก!CZ67"")"),0)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IFERROR(__xludf.DUMMYFUNCTION("IMPORTRANGE(""https://docs.google.com/spreadsheets/d/1SX6NBoVAgQJ6U1MVXOaj8PK2l7WJ3RER9xtqwdhxkhw/edit?usp=sharing"",""ปทุมธานี!I224"")"),0)</f>
        <v>0</v>
      </c>
      <c r="J324" s="205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IFERROR(__xludf.DUMMYFUNCTION("IMPORTRANGE(""https://docs.google.com/spreadsheets/d/1SX6NBoVAgQJ6U1MVXOaj8PK2l7WJ3RER9xtqwdhxkhw/edit?usp=sharing"",""ปทุมธานี!I228"")"),0)</f>
        <v>0</v>
      </c>
      <c r="J328" s="339">
        <f ca="1">IFERROR(__xludf.DUMMYFUNCTION("IMPORTRANGE(""https://docs.google.com/spreadsheets/d/1SX6NBoVAgQJ6U1MVXOaj8PK2l7WJ3RER9xtqwdhxkhw/edit?usp=sharing"",""ปทุมธานี!J228"")"),0)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570980</v>
      </c>
      <c r="M329" s="152">
        <f t="shared" ca="1" si="98"/>
        <v>285490</v>
      </c>
      <c r="N329" s="152">
        <f t="shared" ca="1" si="98"/>
        <v>127773</v>
      </c>
      <c r="O329" s="151">
        <f t="shared" ref="O329:O331" ca="1" si="99">IF(L329&gt;0,N329*100/L329,0)</f>
        <v>22.377841605660443</v>
      </c>
      <c r="P329" s="151">
        <f t="shared" ref="P329:P331" ca="1" si="100">IF(M329&gt;0,N329*100/M329,0)</f>
        <v>44.755683211320886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570980</v>
      </c>
      <c r="M331" s="157">
        <f t="shared" ca="1" si="102"/>
        <v>285490</v>
      </c>
      <c r="N331" s="157">
        <f t="shared" ca="1" si="102"/>
        <v>127773</v>
      </c>
      <c r="O331" s="156">
        <f t="shared" ca="1" si="99"/>
        <v>22.377841605660443</v>
      </c>
      <c r="P331" s="156">
        <f t="shared" ca="1" si="100"/>
        <v>44.755683211320886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570980</v>
      </c>
      <c r="M333" s="169">
        <f ca="1">IFERROR(__xludf.DUMMYFUNCTION("IMPORTRANGE(""https://docs.google.com/spreadsheets/d/1Yj_ptqi66GCucihVvJfMjLAmec39IyEx_6qawtMGysU/edit?usp=sharing"",""สบก!DL67"")"),285490)</f>
        <v>285490</v>
      </c>
      <c r="N333" s="170">
        <f ca="1">IFERROR(__xludf.DUMMYFUNCTION("IMPORTRANGE(""https://docs.google.com/spreadsheets/d/1Yj_ptqi66GCucihVvJfMjLAmec39IyEx_6qawtMGysU/edit?usp=sharing"",""สบก!DM67"")"),127773)</f>
        <v>127773</v>
      </c>
      <c r="O333" s="170">
        <f ca="1">IF(L333&gt;0,N333*100/L333,0)</f>
        <v>22.377841605660443</v>
      </c>
      <c r="P333" s="170">
        <f ca="1">IF(M333&gt;0,N333*100/M333,0)</f>
        <v>44.755683211320886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IFERROR(__xludf.DUMMYFUNCTION("IMPORTRANGE(""https://docs.google.com/spreadsheets/d/1Yj_ptqi66GCucihVvJfMjLAmec39IyEx_6qawtMGysU/edit?usp=sharing"",""สบก!DH67"")"),388800)</f>
        <v>388800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IFERROR(__xludf.DUMMYFUNCTION("IMPORTRANGE(""https://docs.google.com/spreadsheets/d/1Yj_ptqi66GCucihVvJfMjLAmec39IyEx_6qawtMGysU/edit?usp=sharing"",""สบก!DI67"")"),182180)</f>
        <v>182180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IFERROR(__xludf.DUMMYFUNCTION("IMPORTRANGE(""https://docs.google.com/spreadsheets/d/1SX6NBoVAgQJ6U1MVXOaj8PK2l7WJ3RER9xtqwdhxkhw/edit?usp=sharing"",""ปทุมธานี!I234"")"),0)</f>
        <v>0</v>
      </c>
      <c r="J339" s="189">
        <f ca="1">IFERROR(__xludf.DUMMYFUNCTION("IMPORTRANGE(""https://docs.google.com/spreadsheets/d/1SX6NBoVAgQJ6U1MVXOaj8PK2l7WJ3RER9xtqwdhxkhw/edit?usp=sharing"",""ปทุมธานี!J234"")"),0)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IFERROR(__xludf.DUMMYFUNCTION("IMPORTRANGE(""https://docs.google.com/spreadsheets/d/1SX6NBoVAgQJ6U1MVXOaj8PK2l7WJ3RER9xtqwdhxkhw/edit?usp=sharing"",""ปทุมธานี!I235"")"),0)</f>
        <v>0</v>
      </c>
      <c r="J340" s="189">
        <f ca="1">IFERROR(__xludf.DUMMYFUNCTION("IMPORTRANGE(""https://docs.google.com/spreadsheets/d/1SX6NBoVAgQJ6U1MVXOaj8PK2l7WJ3RER9xtqwdhxkhw/edit?usp=sharing"",""ปทุมธานี!J235"")"),0)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IFERROR(__xludf.DUMMYFUNCTION("IMPORTRANGE(""https://docs.google.com/spreadsheets/d/1SX6NBoVAgQJ6U1MVXOaj8PK2l7WJ3RER9xtqwdhxkhw/edit?usp=sharing"",""ปทุมธานี!I236"")"),0)</f>
        <v>0</v>
      </c>
      <c r="J341" s="189">
        <f ca="1">IFERROR(__xludf.DUMMYFUNCTION("IMPORTRANGE(""https://docs.google.com/spreadsheets/d/1SX6NBoVAgQJ6U1MVXOaj8PK2l7WJ3RER9xtqwdhxkhw/edit?usp=sharing"",""ปทุมธานี!J236"")"),0)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9">
        <f ca="1">IFERROR(__xludf.DUMMYFUNCTION("IMPORTRANGE(""https://docs.google.com/spreadsheets/d/1SX6NBoVAgQJ6U1MVXOaj8PK2l7WJ3RER9xtqwdhxkhw/edit?usp=sharing"",""ปทุมธานี!J237"")"),0)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IFERROR(__xludf.DUMMYFUNCTION("IMPORTRANGE(""https://docs.google.com/spreadsheets/d/1SX6NBoVAgQJ6U1MVXOaj8PK2l7WJ3RER9xtqwdhxkhw/edit?usp=sharing"",""ปทุมธานี!I238"")"),0)</f>
        <v>0</v>
      </c>
      <c r="J343" s="189">
        <f ca="1">IFERROR(__xludf.DUMMYFUNCTION("IMPORTRANGE(""https://docs.google.com/spreadsheets/d/1SX6NBoVAgQJ6U1MVXOaj8PK2l7WJ3RER9xtqwdhxkhw/edit?usp=sharing"",""ปทุมธานี!J238"")"),0)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9">
        <f ca="1">IFERROR(__xludf.DUMMYFUNCTION("IMPORTRANGE(""https://docs.google.com/spreadsheets/d/1SX6NBoVAgQJ6U1MVXOaj8PK2l7WJ3RER9xtqwdhxkhw/edit?usp=sharing"",""ปทุมธานี!J239"")"),0)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IFERROR(__xludf.DUMMYFUNCTION("IMPORTRANGE(""https://docs.google.com/spreadsheets/d/1SX6NBoVAgQJ6U1MVXOaj8PK2l7WJ3RER9xtqwdhxkhw/edit?usp=sharing"",""ปทุมธานี!I240"")"),0)</f>
        <v>0</v>
      </c>
      <c r="J345" s="189">
        <f ca="1">IFERROR(__xludf.DUMMYFUNCTION("IMPORTRANGE(""https://docs.google.com/spreadsheets/d/1SX6NBoVAgQJ6U1MVXOaj8PK2l7WJ3RER9xtqwdhxkhw/edit?usp=sharing"",""ปทุมธานี!J240"")"),0)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9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IFERROR(__xludf.DUMMYFUNCTION("IMPORTRANGE(""https://docs.google.com/spreadsheets/d/1SX6NBoVAgQJ6U1MVXOaj8PK2l7WJ3RER9xtqwdhxkhw/edit?usp=sharing"",""ปทุมธานี!M242"")"),298223.03)</f>
        <v>298223.03000000003</v>
      </c>
      <c r="O347" s="358">
        <f ca="1">+IF(L347&gt;0,N347*100/L347,0)</f>
        <v>52.699823287211302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IFERROR(__xludf.DUMMYFUNCTION("IMPORTRANGE(""https://docs.google.com/spreadsheets/d/1SX6NBoVAgQJ6U1MVXOaj8PK2l7WJ3RER9xtqwdhxkhw/edit?usp=sharing"",""ปทุมธานี!M244"")"),15660.01)</f>
        <v>15660.01</v>
      </c>
      <c r="O349" s="373">
        <f ca="1">+IF(L349&gt;0,N349*100/L349,0)</f>
        <v>33.206128074639523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IFERROR(__xludf.DUMMYFUNCTION("IMPORTRANGE(""https://docs.google.com/spreadsheets/d/1SX6NBoVAgQJ6U1MVXOaj8PK2l7WJ3RER9xtqwdhxkhw/edit?usp=sharing"",""ปทุมธานี!L246"")"),0)</f>
        <v>0</v>
      </c>
      <c r="M351" s="166"/>
      <c r="N351" s="166">
        <f ca="1">IFERROR(__xludf.DUMMYFUNCTION("IMPORTRANGE(""https://docs.google.com/spreadsheets/d/1SX6NBoVAgQJ6U1MVXOaj8PK2l7WJ3RER9xtqwdhxkhw/edit?usp=sharing"",""ปทุมธานี!M246"")"),0)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IFERROR(__xludf.DUMMYFUNCTION("IMPORTRANGE(""https://docs.google.com/spreadsheets/d/1SX6NBoVAgQJ6U1MVXOaj8PK2l7WJ3RER9xtqwdhxkhw/edit?usp=sharing"",""ปทุมธานี!L247"")"),47160)</f>
        <v>47160</v>
      </c>
      <c r="M352" s="167"/>
      <c r="N352" s="166">
        <f ca="1">IFERROR(__xludf.DUMMYFUNCTION("IMPORTRANGE(""https://docs.google.com/spreadsheets/d/1SX6NBoVAgQJ6U1MVXOaj8PK2l7WJ3RER9xtqwdhxkhw/edit?usp=sharing"",""ปทุมธานี!M247"")"),15660.01)</f>
        <v>15660.01</v>
      </c>
      <c r="O352" s="167">
        <f t="shared" ca="1" si="105"/>
        <v>33.206128074639523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IFERROR(__xludf.DUMMYFUNCTION("IMPORTRANGE(""https://docs.google.com/spreadsheets/d/1SX6NBoVAgQJ6U1MVXOaj8PK2l7WJ3RER9xtqwdhxkhw/edit?usp=sharing"",""ปทุมธานี!L248"")"),0)</f>
        <v>0</v>
      </c>
      <c r="M353" s="170"/>
      <c r="N353" s="170">
        <f ca="1">IFERROR(__xludf.DUMMYFUNCTION("IMPORTRANGE(""https://docs.google.com/spreadsheets/d/1SX6NBoVAgQJ6U1MVXOaj8PK2l7WJ3RER9xtqwdhxkhw/edit?usp=sharing"",""ปทุมธานี!M248"")"),0)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IFERROR(__xludf.DUMMYFUNCTION("IMPORTRANGE(""https://docs.google.com/spreadsheets/d/1SX6NBoVAgQJ6U1MVXOaj8PK2l7WJ3RER9xtqwdhxkhw/edit?usp=sharing"",""ปทุมธานี!L249"")"),47160)</f>
        <v>47160</v>
      </c>
      <c r="M354" s="170"/>
      <c r="N354" s="169">
        <f ca="1">IFERROR(__xludf.DUMMYFUNCTION("IMPORTRANGE(""https://docs.google.com/spreadsheets/d/1SX6NBoVAgQJ6U1MVXOaj8PK2l7WJ3RER9xtqwdhxkhw/edit?usp=sharing"",""ปทุมธานี!M249"")"),15660.01)</f>
        <v>15660.01</v>
      </c>
      <c r="O354" s="170">
        <f t="shared" ca="1" si="105"/>
        <v>33.206128074639523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IFERROR(__xludf.DUMMYFUNCTION("IMPORTRANGE(""https://docs.google.com/spreadsheets/d/1SX6NBoVAgQJ6U1MVXOaj8PK2l7WJ3RER9xtqwdhxkhw/edit?usp=sharing"",""ปทุมธานี!M250"")"),12760.01)</f>
        <v>12760.01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IFERROR(__xludf.DUMMYFUNCTION("IMPORTRANGE(""https://docs.google.com/spreadsheets/d/1SX6NBoVAgQJ6U1MVXOaj8PK2l7WJ3RER9xtqwdhxkhw/edit?usp=sharing"",""ปทุมธานี!M251"")"),0)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IFERROR(__xludf.DUMMYFUNCTION("IMPORTRANGE(""https://docs.google.com/spreadsheets/d/1SX6NBoVAgQJ6U1MVXOaj8PK2l7WJ3RER9xtqwdhxkhw/edit?usp=sharing"",""ปทุมธานี!M253"")"),2900)</f>
        <v>2900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IFERROR(__xludf.DUMMYFUNCTION("IMPORTRANGE(""https://docs.google.com/spreadsheets/d/1SX6NBoVAgQJ6U1MVXOaj8PK2l7WJ3RER9xtqwdhxkhw/edit?usp=sharing"",""ปทุมธานี!J255"")"),0)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IFERROR(__xludf.DUMMYFUNCTION("IMPORTRANGE(""https://docs.google.com/spreadsheets/d/1SX6NBoVAgQJ6U1MVXOaj8PK2l7WJ3RER9xtqwdhxkhw/edit?usp=sharing"",""ปทุมธานี!J256"")"),1)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IFERROR(__xludf.DUMMYFUNCTION("IMPORTRANGE(""https://docs.google.com/spreadsheets/d/1SX6NBoVAgQJ6U1MVXOaj8PK2l7WJ3RER9xtqwdhxkhw/edit?usp=sharing"",""ปทุมธานี!J257"")"),1)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IFERROR(__xludf.DUMMYFUNCTION("IMPORTRANGE(""https://docs.google.com/spreadsheets/d/1SX6NBoVAgQJ6U1MVXOaj8PK2l7WJ3RER9xtqwdhxkhw/edit?usp=sharing"",""ปทุมธานี!J258"")"),1)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IFERROR(__xludf.DUMMYFUNCTION("IMPORTRANGE(""https://docs.google.com/spreadsheets/d/1SX6NBoVAgQJ6U1MVXOaj8PK2l7WJ3RER9xtqwdhxkhw/edit?usp=sharing"",""ปทุมธานี!J166"")"),0)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IFERROR(__xludf.DUMMYFUNCTION("IMPORTRANGE(""https://docs.google.com/spreadsheets/d/1SX6NBoVAgQJ6U1MVXOaj8PK2l7WJ3RER9xtqwdhxkhw/edit?usp=sharing"",""ปทุมธานี!J166"")"),0)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IFERROR(__xludf.DUMMYFUNCTION("IMPORTRANGE(""https://docs.google.com/spreadsheets/d/1SX6NBoVAgQJ6U1MVXOaj8PK2l7WJ3RER9xtqwdhxkhw/edit?usp=sharing"",""ปทุมธานี!J166"")"),0)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IFERROR(__xludf.DUMMYFUNCTION("IMPORTRANGE(""https://docs.google.com/spreadsheets/d/1SX6NBoVAgQJ6U1MVXOaj8PK2l7WJ3RER9xtqwdhxkhw/edit?usp=sharing"",""ปทุมธานี!J166"")"),0)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IFERROR(__xludf.DUMMYFUNCTION("IMPORTRANGE(""https://docs.google.com/spreadsheets/d/1SX6NBoVAgQJ6U1MVXOaj8PK2l7WJ3RER9xtqwdhxkhw/edit?usp=sharing"",""ปทุมธานี!I263"")"),6)</f>
        <v>6</v>
      </c>
      <c r="J368" s="189">
        <f ca="1">IFERROR(__xludf.DUMMYFUNCTION("IMPORTRANGE(""https://docs.google.com/spreadsheets/d/1SX6NBoVAgQJ6U1MVXOaj8PK2l7WJ3RER9xtqwdhxkhw/edit?usp=sharing"",""ปทุมธานี!J263"")"),6)</f>
        <v>6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IFERROR(__xludf.DUMMYFUNCTION("IMPORTRANGE(""https://docs.google.com/spreadsheets/d/1SX6NBoVAgQJ6U1MVXOaj8PK2l7WJ3RER9xtqwdhxkhw/edit?usp=sharing"",""ปทุมธานี!I164"")"),0)</f>
        <v>0</v>
      </c>
      <c r="J369" s="205">
        <f ca="1">IFERROR(__xludf.DUMMYFUNCTION("IMPORTRANGE(""https://docs.google.com/spreadsheets/d/1SX6NBoVAgQJ6U1MVXOaj8PK2l7WJ3RER9xtqwdhxkhw/edit?usp=sharing"",""ปทุมธานี!J164"")"),0)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IFERROR(__xludf.DUMMYFUNCTION("IMPORTRANGE(""https://docs.google.com/spreadsheets/d/1SX6NBoVAgQJ6U1MVXOaj8PK2l7WJ3RER9xtqwdhxkhw/edit?usp=sharing"",""ปทุมธานี!I265"")"),6)</f>
        <v>6</v>
      </c>
      <c r="J370" s="205">
        <f ca="1">IFERROR(__xludf.DUMMYFUNCTION("IMPORTRANGE(""https://docs.google.com/spreadsheets/d/1SX6NBoVAgQJ6U1MVXOaj8PK2l7WJ3RER9xtqwdhxkhw/edit?usp=sharing"",""ปทุมธานี!J265"")"),0)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IFERROR(__xludf.DUMMYFUNCTION("IMPORTRANGE(""https://docs.google.com/spreadsheets/d/1SX6NBoVAgQJ6U1MVXOaj8PK2l7WJ3RER9xtqwdhxkhw/edit?usp=sharing"",""ปทุมธานี!I164"")"),0)</f>
        <v>0</v>
      </c>
      <c r="J371" s="190">
        <f ca="1">IFERROR(__xludf.DUMMYFUNCTION("IMPORTRANGE(""https://docs.google.com/spreadsheets/d/1SX6NBoVAgQJ6U1MVXOaj8PK2l7WJ3RER9xtqwdhxkhw/edit?usp=sharing"",""ปทุมธานี!J164"")"),0)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IFERROR(__xludf.DUMMYFUNCTION("IMPORTRANGE(""https://docs.google.com/spreadsheets/d/1SX6NBoVAgQJ6U1MVXOaj8PK2l7WJ3RER9xtqwdhxkhw/edit?usp=sharing"",""ปทุมธานี!I267"")"),6)</f>
        <v>6</v>
      </c>
      <c r="J372" s="190">
        <f ca="1">IFERROR(__xludf.DUMMYFUNCTION("IMPORTRANGE(""https://docs.google.com/spreadsheets/d/1SX6NBoVAgQJ6U1MVXOaj8PK2l7WJ3RER9xtqwdhxkhw/edit?usp=sharing"",""ปทุมธานี!J267"")"),6)</f>
        <v>6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IFERROR(__xludf.DUMMYFUNCTION("IMPORTRANGE(""https://docs.google.com/spreadsheets/d/1SX6NBoVAgQJ6U1MVXOaj8PK2l7WJ3RER9xtqwdhxkhw/edit?usp=sharing"",""ปทุมธานี!I164"")"),0)</f>
        <v>0</v>
      </c>
      <c r="J373" s="205">
        <f ca="1">IFERROR(__xludf.DUMMYFUNCTION("IMPORTRANGE(""https://docs.google.com/spreadsheets/d/1SX6NBoVAgQJ6U1MVXOaj8PK2l7WJ3RER9xtqwdhxkhw/edit?usp=sharing"",""ปทุมธานี!J164"")"),0)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IFERROR(__xludf.DUMMYFUNCTION("IMPORTRANGE(""https://docs.google.com/spreadsheets/d/1SX6NBoVAgQJ6U1MVXOaj8PK2l7WJ3RER9xtqwdhxkhw/edit?usp=sharing"",""ปทุมธานี!I164"")"),0)</f>
        <v>0</v>
      </c>
      <c r="J374" s="189">
        <f ca="1">IFERROR(__xludf.DUMMYFUNCTION("IMPORTRANGE(""https://docs.google.com/spreadsheets/d/1SX6NBoVAgQJ6U1MVXOaj8PK2l7WJ3RER9xtqwdhxkhw/edit?usp=sharing"",""ปทุมธานี!J164"")"),0)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IFERROR(__xludf.DUMMYFUNCTION("IMPORTRANGE(""https://docs.google.com/spreadsheets/d/1SX6NBoVAgQJ6U1MVXOaj8PK2l7WJ3RER9xtqwdhxkhw/edit?usp=sharing"",""ปทุมธานี!I270"")"),12)</f>
        <v>12</v>
      </c>
      <c r="J375" s="189">
        <f ca="1">IFERROR(__xludf.DUMMYFUNCTION("IMPORTRANGE(""https://docs.google.com/spreadsheets/d/1SX6NBoVAgQJ6U1MVXOaj8PK2l7WJ3RER9xtqwdhxkhw/edit?usp=sharing"",""ปทุมธานี!J270"")"),0)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IFERROR(__xludf.DUMMYFUNCTION("IMPORTRANGE(""https://docs.google.com/spreadsheets/d/1SX6NBoVAgQJ6U1MVXOaj8PK2l7WJ3RER9xtqwdhxkhw/edit?usp=sharing"",""ปทุมธานี!I271"")"),12)</f>
        <v>12</v>
      </c>
      <c r="J376" s="190">
        <f ca="1">IFERROR(__xludf.DUMMYFUNCTION("IMPORTRANGE(""https://docs.google.com/spreadsheets/d/1SX6NBoVAgQJ6U1MVXOaj8PK2l7WJ3RER9xtqwdhxkhw/edit?usp=sharing"",""ปทุมธานี!J271"")"),0)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IFERROR(__xludf.DUMMYFUNCTION("IMPORTRANGE(""https://docs.google.com/spreadsheets/d/1SX6NBoVAgQJ6U1MVXOaj8PK2l7WJ3RER9xtqwdhxkhw/edit?usp=sharing"",""ปทุมธานี!I272"")"),0)</f>
        <v>0</v>
      </c>
      <c r="J377" s="205">
        <f ca="1">IFERROR(__xludf.DUMMYFUNCTION("IMPORTRANGE(""https://docs.google.com/spreadsheets/d/1SX6NBoVAgQJ6U1MVXOaj8PK2l7WJ3RER9xtqwdhxkhw/edit?usp=sharing"",""ปทุมธานี!J272"")"),0)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IFERROR(__xludf.DUMMYFUNCTION("IMPORTRANGE(""https://docs.google.com/spreadsheets/d/1SX6NBoVAgQJ6U1MVXOaj8PK2l7WJ3RER9xtqwdhxkhw/edit?usp=sharing"",""ปทุมธานี!J273"")"),0)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IFERROR(__xludf.DUMMYFUNCTION("IMPORTRANGE(""https://docs.google.com/spreadsheets/d/1SX6NBoVAgQJ6U1MVXOaj8PK2l7WJ3RER9xtqwdhxkhw/edit?usp=sharing"",""ปทุมธานี!J274"")"),0)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IFERROR(__xludf.DUMMYFUNCTION("IMPORTRANGE(""https://docs.google.com/spreadsheets/d/1SX6NBoVAgQJ6U1MVXOaj8PK2l7WJ3RER9xtqwdhxkhw/edit?usp=sharing"",""ปทุมธานี!M275"")"),46559)</f>
        <v>46559</v>
      </c>
      <c r="O380" s="373">
        <f ca="1">+IF(L380&gt;0,N380*100/L380,0)</f>
        <v>53.082886785999314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IFERROR(__xludf.DUMMYFUNCTION("IMPORTRANGE(""https://docs.google.com/spreadsheets/d/1SX6NBoVAgQJ6U1MVXOaj8PK2l7WJ3RER9xtqwdhxkhw/edit?usp=sharing"",""ปทุมธานี!L277"")"),0)</f>
        <v>0</v>
      </c>
      <c r="M382" s="166"/>
      <c r="N382" s="166">
        <f ca="1">IFERROR(__xludf.DUMMYFUNCTION("IMPORTRANGE(""https://docs.google.com/spreadsheets/d/1SX6NBoVAgQJ6U1MVXOaj8PK2l7WJ3RER9xtqwdhxkhw/edit?usp=sharing"",""ปทุมธานี!M277"")"),0)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IFERROR(__xludf.DUMMYFUNCTION("IMPORTRANGE(""https://docs.google.com/spreadsheets/d/1SX6NBoVAgQJ6U1MVXOaj8PK2l7WJ3RER9xtqwdhxkhw/edit?usp=sharing"",""ปทุมธานี!L278"")"),87710)</f>
        <v>87710</v>
      </c>
      <c r="M383" s="167"/>
      <c r="N383" s="167">
        <f ca="1">IFERROR(__xludf.DUMMYFUNCTION("IMPORTRANGE(""https://docs.google.com/spreadsheets/d/1SX6NBoVAgQJ6U1MVXOaj8PK2l7WJ3RER9xtqwdhxkhw/edit?usp=sharing"",""ปทุมธานี!M278"")"),46559)</f>
        <v>46559</v>
      </c>
      <c r="O383" s="167">
        <f t="shared" ca="1" si="109"/>
        <v>53.082886785999314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IFERROR(__xludf.DUMMYFUNCTION("IMPORTRANGE(""https://docs.google.com/spreadsheets/d/1SX6NBoVAgQJ6U1MVXOaj8PK2l7WJ3RER9xtqwdhxkhw/edit?usp=sharing"",""ปทุมธานี!L279"")"),0)</f>
        <v>0</v>
      </c>
      <c r="M384" s="170"/>
      <c r="N384" s="170">
        <f ca="1">IFERROR(__xludf.DUMMYFUNCTION("IMPORTRANGE(""https://docs.google.com/spreadsheets/d/1SX6NBoVAgQJ6U1MVXOaj8PK2l7WJ3RER9xtqwdhxkhw/edit?usp=sharing"",""ปทุมธานี!M279"")"),0)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IFERROR(__xludf.DUMMYFUNCTION("IMPORTRANGE(""https://docs.google.com/spreadsheets/d/1SX6NBoVAgQJ6U1MVXOaj8PK2l7WJ3RER9xtqwdhxkhw/edit?usp=sharing"",""ปทุมธานี!L280"")"),87710)</f>
        <v>87710</v>
      </c>
      <c r="M385" s="170"/>
      <c r="N385" s="169">
        <f ca="1">IFERROR(__xludf.DUMMYFUNCTION("IMPORTRANGE(""https://docs.google.com/spreadsheets/d/1SX6NBoVAgQJ6U1MVXOaj8PK2l7WJ3RER9xtqwdhxkhw/edit?usp=sharing"",""ปทุมธานี!M280"")"),46559)</f>
        <v>46559</v>
      </c>
      <c r="O385" s="170">
        <f t="shared" ca="1" si="109"/>
        <v>53.082886785999314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IFERROR(__xludf.DUMMYFUNCTION("IMPORTRANGE(""https://docs.google.com/spreadsheets/d/1SX6NBoVAgQJ6U1MVXOaj8PK2l7WJ3RER9xtqwdhxkhw/edit?usp=sharing"",""ปทุมธานี!M281"")"),34409)</f>
        <v>34409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IFERROR(__xludf.DUMMYFUNCTION("IMPORTRANGE(""https://docs.google.com/spreadsheets/d/1SX6NBoVAgQJ6U1MVXOaj8PK2l7WJ3RER9xtqwdhxkhw/edit?usp=sharing"",""ปทุมธานี!M282"")"),0)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IFERROR(__xludf.DUMMYFUNCTION("IMPORTRANGE(""https://docs.google.com/spreadsheets/d/1SX6NBoVAgQJ6U1MVXOaj8PK2l7WJ3RER9xtqwdhxkhw/edit?usp=sharing"",""ปทุมธานี!M284"")"),12150)</f>
        <v>12150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IFERROR(__xludf.DUMMYFUNCTION("IMPORTRANGE(""https://docs.google.com/spreadsheets/d/1SX6NBoVAgQJ6U1MVXOaj8PK2l7WJ3RER9xtqwdhxkhw/edit?usp=sharing"",""ปทุมธานี!J286"")"),0)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IFERROR(__xludf.DUMMYFUNCTION("IMPORTRANGE(""https://docs.google.com/spreadsheets/d/1SX6NBoVAgQJ6U1MVXOaj8PK2l7WJ3RER9xtqwdhxkhw/edit?usp=sharing"",""ปทุมธานี!J287"")"),1)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IFERROR(__xludf.DUMMYFUNCTION("IMPORTRANGE(""https://docs.google.com/spreadsheets/d/1SX6NBoVAgQJ6U1MVXOaj8PK2l7WJ3RER9xtqwdhxkhw/edit?usp=sharing"",""ปทุมธานี!J288"")"),1)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IFERROR(__xludf.DUMMYFUNCTION("IMPORTRANGE(""https://docs.google.com/spreadsheets/d/1SX6NBoVAgQJ6U1MVXOaj8PK2l7WJ3RER9xtqwdhxkhw/edit?usp=sharing"",""ปทุมธานี!J289"")"),1)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IFERROR(__xludf.DUMMYFUNCTION("IMPORTRANGE(""https://docs.google.com/spreadsheets/d/1SX6NBoVAgQJ6U1MVXOaj8PK2l7WJ3RER9xtqwdhxkhw/edit?usp=sharing"",""ปทุมธานี!I291"")"),5)</f>
        <v>5</v>
      </c>
      <c r="J396" s="199">
        <f ca="1">IFERROR(__xludf.DUMMYFUNCTION("IMPORTRANGE(""https://docs.google.com/spreadsheets/d/1SX6NBoVAgQJ6U1MVXOaj8PK2l7WJ3RER9xtqwdhxkhw/edit?usp=sharing"",""ปทุมธานี!J291"")"),10)</f>
        <v>10</v>
      </c>
      <c r="K396" s="165">
        <f t="shared" ref="K396:K398" ca="1" si="110">IF(I396&gt;0,J396*100/I396,0)</f>
        <v>200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IFERROR(__xludf.DUMMYFUNCTION("IMPORTRANGE(""https://docs.google.com/spreadsheets/d/1SX6NBoVAgQJ6U1MVXOaj8PK2l7WJ3RER9xtqwdhxkhw/edit?usp=sharing"",""ปทุมธานี!I292"")"),50)</f>
        <v>50</v>
      </c>
      <c r="J397" s="199">
        <f ca="1">IFERROR(__xludf.DUMMYFUNCTION("IMPORTRANGE(""https://docs.google.com/spreadsheets/d/1SX6NBoVAgQJ6U1MVXOaj8PK2l7WJ3RER9xtqwdhxkhw/edit?usp=sharing"",""ปทุมธานี!J292"")"),0)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IFERROR(__xludf.DUMMYFUNCTION("IMPORTRANGE(""https://docs.google.com/spreadsheets/d/1SX6NBoVAgQJ6U1MVXOaj8PK2l7WJ3RER9xtqwdhxkhw/edit?usp=sharing"",""ปทุมธานี!I293"")"),5)</f>
        <v>5</v>
      </c>
      <c r="J398" s="199">
        <f ca="1">IFERROR(__xludf.DUMMYFUNCTION("IMPORTRANGE(""https://docs.google.com/spreadsheets/d/1SX6NBoVAgQJ6U1MVXOaj8PK2l7WJ3RER9xtqwdhxkhw/edit?usp=sharing"",""ปทุมธานี!J293"")"),0)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IFERROR(__xludf.DUMMYFUNCTION("IMPORTRANGE(""https://docs.google.com/spreadsheets/d/1SX6NBoVAgQJ6U1MVXOaj8PK2l7WJ3RER9xtqwdhxkhw/edit?usp=sharing"",""ปทุมธานี!J294"")"),0)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IFERROR(__xludf.DUMMYFUNCTION("IMPORTRANGE(""https://docs.google.com/spreadsheets/d/1SX6NBoVAgQJ6U1MVXOaj8PK2l7WJ3RER9xtqwdhxkhw/edit?usp=sharing"",""ปทุมธานี!J295"")"),0)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IFERROR(__xludf.DUMMYFUNCTION("IMPORTRANGE(""https://docs.google.com/spreadsheets/d/1SX6NBoVAgQJ6U1MVXOaj8PK2l7WJ3RER9xtqwdhxkhw/edit?usp=sharing"",""ปทุมธานี!M296"")"),119380)</f>
        <v>119380</v>
      </c>
      <c r="O401" s="373">
        <f ca="1">+IF(L401&gt;0,N401*100/L401,0)</f>
        <v>63.737319807794982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IFERROR(__xludf.DUMMYFUNCTION("IMPORTRANGE(""https://docs.google.com/spreadsheets/d/1SX6NBoVAgQJ6U1MVXOaj8PK2l7WJ3RER9xtqwdhxkhw/edit?usp=sharing"",""ปทุมธานี!L298"")"),0)</f>
        <v>0</v>
      </c>
      <c r="M403" s="166"/>
      <c r="N403" s="170">
        <f ca="1">IFERROR(__xludf.DUMMYFUNCTION("IMPORTRANGE(""https://docs.google.com/spreadsheets/d/1SX6NBoVAgQJ6U1MVXOaj8PK2l7WJ3RER9xtqwdhxkhw/edit?usp=sharing"",""ปทุมธานี!M298"")"),0)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IFERROR(__xludf.DUMMYFUNCTION("IMPORTRANGE(""https://docs.google.com/spreadsheets/d/1SX6NBoVAgQJ6U1MVXOaj8PK2l7WJ3RER9xtqwdhxkhw/edit?usp=sharing"",""ปทุมธานี!L299"")"),187300)</f>
        <v>187300</v>
      </c>
      <c r="M404" s="167"/>
      <c r="N404" s="170">
        <f ca="1">IFERROR(__xludf.DUMMYFUNCTION("IMPORTRANGE(""https://docs.google.com/spreadsheets/d/1SX6NBoVAgQJ6U1MVXOaj8PK2l7WJ3RER9xtqwdhxkhw/edit?usp=sharing"",""ปทุมธานี!M299"")"),119380)</f>
        <v>119380</v>
      </c>
      <c r="O404" s="170">
        <f t="shared" ca="1" si="112"/>
        <v>63.737319807794982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IFERROR(__xludf.DUMMYFUNCTION("IMPORTRANGE(""https://docs.google.com/spreadsheets/d/1SX6NBoVAgQJ6U1MVXOaj8PK2l7WJ3RER9xtqwdhxkhw/edit?usp=sharing"",""ปทุมธานี!L300"")"),0)</f>
        <v>0</v>
      </c>
      <c r="M405" s="170"/>
      <c r="N405" s="170">
        <f ca="1">IFERROR(__xludf.DUMMYFUNCTION("IMPORTRANGE(""https://docs.google.com/spreadsheets/d/1SX6NBoVAgQJ6U1MVXOaj8PK2l7WJ3RER9xtqwdhxkhw/edit?usp=sharing"",""ปทุมธานี!M300"")"),0)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IFERROR(__xludf.DUMMYFUNCTION("IMPORTRANGE(""https://docs.google.com/spreadsheets/d/1SX6NBoVAgQJ6U1MVXOaj8PK2l7WJ3RER9xtqwdhxkhw/edit?usp=sharing"",""ปทุมธานี!L301"")"),187300)</f>
        <v>187300</v>
      </c>
      <c r="M406" s="170"/>
      <c r="N406" s="170">
        <f ca="1">IFERROR(__xludf.DUMMYFUNCTION("IMPORTRANGE(""https://docs.google.com/spreadsheets/d/1SX6NBoVAgQJ6U1MVXOaj8PK2l7WJ3RER9xtqwdhxkhw/edit?usp=sharing"",""ปทุมธานี!M301"")"),119380)</f>
        <v>119380</v>
      </c>
      <c r="O406" s="170">
        <f t="shared" ca="1" si="112"/>
        <v>63.737319807794982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IFERROR(__xludf.DUMMYFUNCTION("IMPORTRANGE(""https://docs.google.com/spreadsheets/d/1SX6NBoVAgQJ6U1MVXOaj8PK2l7WJ3RER9xtqwdhxkhw/edit?usp=sharing"",""ปทุมธานี!M302"")"),118380)</f>
        <v>118380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IFERROR(__xludf.DUMMYFUNCTION("IMPORTRANGE(""https://docs.google.com/spreadsheets/d/1SX6NBoVAgQJ6U1MVXOaj8PK2l7WJ3RER9xtqwdhxkhw/edit?usp=sharing"",""ปทุมธานี!M303"")"),0)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IFERROR(__xludf.DUMMYFUNCTION("IMPORTRANGE(""https://docs.google.com/spreadsheets/d/1SX6NBoVAgQJ6U1MVXOaj8PK2l7WJ3RER9xtqwdhxkhw/edit?usp=sharing"",""ปทุมธานี!M305"")"),1000)</f>
        <v>1000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IFERROR(__xludf.DUMMYFUNCTION("IMPORTRANGE(""https://docs.google.com/spreadsheets/d/1SX6NBoVAgQJ6U1MVXOaj8PK2l7WJ3RER9xtqwdhxkhw/edit?usp=sharing"",""ปทุมธานี!J307"")"),1)</f>
        <v>1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IFERROR(__xludf.DUMMYFUNCTION("IMPORTRANGE(""https://docs.google.com/spreadsheets/d/1SX6NBoVAgQJ6U1MVXOaj8PK2l7WJ3RER9xtqwdhxkhw/edit?usp=sharing"",""ปทุมธานี!J308"")"),0)</f>
        <v>0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IFERROR(__xludf.DUMMYFUNCTION("IMPORTRANGE(""https://docs.google.com/spreadsheets/d/1SX6NBoVAgQJ6U1MVXOaj8PK2l7WJ3RER9xtqwdhxkhw/edit?usp=sharing"",""ปทุมธานี!J309"")"),0)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IFERROR(__xludf.DUMMYFUNCTION("IMPORTRANGE(""https://docs.google.com/spreadsheets/d/1SX6NBoVAgQJ6U1MVXOaj8PK2l7WJ3RER9xtqwdhxkhw/edit?usp=sharing"",""ปทุมธานี!J310"")"),0)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IFERROR(__xludf.DUMMYFUNCTION("IMPORTRANGE(""https://docs.google.com/spreadsheets/d/1SX6NBoVAgQJ6U1MVXOaj8PK2l7WJ3RER9xtqwdhxkhw/edit?usp=sharing"",""ปทุมธานี!I311"")"),45)</f>
        <v>45</v>
      </c>
      <c r="J416" s="202">
        <f ca="1">IFERROR(__xludf.DUMMYFUNCTION("IMPORTRANGE(""https://docs.google.com/spreadsheets/d/1SX6NBoVAgQJ6U1MVXOaj8PK2l7WJ3RER9xtqwdhxkhw/edit?usp=sharing"",""ปทุมธานี!J311"")"),45)</f>
        <v>45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IFERROR(__xludf.DUMMYFUNCTION("IMPORTRANGE(""https://docs.google.com/spreadsheets/d/1SX6NBoVAgQJ6U1MVXOaj8PK2l7WJ3RER9xtqwdhxkhw/edit?usp=sharing"",""ปทุมธานี!J328"")"),0)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IFERROR(__xludf.DUMMYFUNCTION("IMPORTRANGE(""https://docs.google.com/spreadsheets/d/1SX6NBoVAgQJ6U1MVXOaj8PK2l7WJ3RER9xtqwdhxkhw/edit?usp=sharing"",""ปทุมธานี!J329"")"),0)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IFERROR(__xludf.DUMMYFUNCTION("IMPORTRANGE(""https://docs.google.com/spreadsheets/d/1SX6NBoVAgQJ6U1MVXOaj8PK2l7WJ3RER9xtqwdhxkhw/edit?usp=sharing"",""ปทุมธานี!M330"")"),42297)</f>
        <v>42297</v>
      </c>
      <c r="O435" s="412">
        <f t="shared" ref="O435:O439" ca="1" si="114">+IF(L435&gt;0,N435*100/L435,0)</f>
        <v>55.653947368421051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IFERROR(__xludf.DUMMYFUNCTION("IMPORTRANGE(""https://docs.google.com/spreadsheets/d/1SX6NBoVAgQJ6U1MVXOaj8PK2l7WJ3RER9xtqwdhxkhw/edit?usp=sharing"",""ปทุมธานี!L331"")"),0)</f>
        <v>0</v>
      </c>
      <c r="M436" s="166"/>
      <c r="N436" s="170">
        <f ca="1">IFERROR(__xludf.DUMMYFUNCTION("IMPORTRANGE(""https://docs.google.com/spreadsheets/d/1SX6NBoVAgQJ6U1MVXOaj8PK2l7WJ3RER9xtqwdhxkhw/edit?usp=sharing"",""ปทุมธานี!M331"")"),0)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IFERROR(__xludf.DUMMYFUNCTION("IMPORTRANGE(""https://docs.google.com/spreadsheets/d/1SX6NBoVAgQJ6U1MVXOaj8PK2l7WJ3RER9xtqwdhxkhw/edit?usp=sharing"",""ปทุมธานี!L332"")"),76000)</f>
        <v>76000</v>
      </c>
      <c r="M437" s="167"/>
      <c r="N437" s="170">
        <f ca="1">IFERROR(__xludf.DUMMYFUNCTION("IMPORTRANGE(""https://docs.google.com/spreadsheets/d/1SX6NBoVAgQJ6U1MVXOaj8PK2l7WJ3RER9xtqwdhxkhw/edit?usp=sharing"",""ปทุมธานี!M332"")"),42297)</f>
        <v>42297</v>
      </c>
      <c r="O437" s="170">
        <f t="shared" ca="1" si="114"/>
        <v>55.653947368421051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IFERROR(__xludf.DUMMYFUNCTION("IMPORTRANGE(""https://docs.google.com/spreadsheets/d/1SX6NBoVAgQJ6U1MVXOaj8PK2l7WJ3RER9xtqwdhxkhw/edit?usp=sharing"",""ปทุมธานี!L333"")"),0)</f>
        <v>0</v>
      </c>
      <c r="M438" s="170"/>
      <c r="N438" s="170">
        <f ca="1">IFERROR(__xludf.DUMMYFUNCTION("IMPORTRANGE(""https://docs.google.com/spreadsheets/d/1SX6NBoVAgQJ6U1MVXOaj8PK2l7WJ3RER9xtqwdhxkhw/edit?usp=sharing"",""ปทุมธานี!M333"")"),0)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IFERROR(__xludf.DUMMYFUNCTION("IMPORTRANGE(""https://docs.google.com/spreadsheets/d/1SX6NBoVAgQJ6U1MVXOaj8PK2l7WJ3RER9xtqwdhxkhw/edit?usp=sharing"",""ปทุมธานี!L334"")"),76000)</f>
        <v>76000</v>
      </c>
      <c r="M439" s="170"/>
      <c r="N439" s="170">
        <f ca="1">IFERROR(__xludf.DUMMYFUNCTION("IMPORTRANGE(""https://docs.google.com/spreadsheets/d/1SX6NBoVAgQJ6U1MVXOaj8PK2l7WJ3RER9xtqwdhxkhw/edit?usp=sharing"",""ปทุมธานี!M334"")"),42297)</f>
        <v>42297</v>
      </c>
      <c r="O439" s="170">
        <f t="shared" ca="1" si="114"/>
        <v>55.653947368421051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IFERROR(__xludf.DUMMYFUNCTION("IMPORTRANGE(""https://docs.google.com/spreadsheets/d/1SX6NBoVAgQJ6U1MVXOaj8PK2l7WJ3RER9xtqwdhxkhw/edit?usp=sharing"",""ปทุมธานี!M335"")"),41297)</f>
        <v>41297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IFERROR(__xludf.DUMMYFUNCTION("IMPORTRANGE(""https://docs.google.com/spreadsheets/d/1SX6NBoVAgQJ6U1MVXOaj8PK2l7WJ3RER9xtqwdhxkhw/edit?usp=sharing"",""ปทุมธานี!M338"")"),1000)</f>
        <v>1000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IFERROR(__xludf.DUMMYFUNCTION("IMPORTRANGE(""https://docs.google.com/spreadsheets/d/1SX6NBoVAgQJ6U1MVXOaj8PK2l7WJ3RER9xtqwdhxkhw/edit?usp=sharing"",""ปทุมธานี!J342"")"),1)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IFERROR(__xludf.DUMMYFUNCTION("IMPORTRANGE(""https://docs.google.com/spreadsheets/d/1SX6NBoVAgQJ6U1MVXOaj8PK2l7WJ3RER9xtqwdhxkhw/edit?usp=sharing"",""ปทุมธานี!J343"")"),1)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2">
        <f ca="1">IFERROR(__xludf.DUMMYFUNCTION("IMPORTRANGE(""https://docs.google.com/spreadsheets/d/1SX6NBoVAgQJ6U1MVXOaj8PK2l7WJ3RER9xtqwdhxkhw/edit?usp=sharing"",""ปทุมธานี!J344"")"),10)</f>
        <v>10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IFERROR(__xludf.DUMMYFUNCTION("IMPORTRANGE(""https://docs.google.com/spreadsheets/d/1SX6NBoVAgQJ6U1MVXOaj8PK2l7WJ3RER9xtqwdhxkhw/edit?usp=sharing"",""ปทุมธานี!I345"")"),10)</f>
        <v>10</v>
      </c>
      <c r="J450" s="190">
        <f ca="1">IFERROR(__xludf.DUMMYFUNCTION("IMPORTRANGE(""https://docs.google.com/spreadsheets/d/1SX6NBoVAgQJ6U1MVXOaj8PK2l7WJ3RER9xtqwdhxkhw/edit?usp=sharing"",""ปทุมธานี!J345"")"),10)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IFERROR(__xludf.DUMMYFUNCTION("IMPORTRANGE(""https://docs.google.com/spreadsheets/d/1SX6NBoVAgQJ6U1MVXOaj8PK2l7WJ3RER9xtqwdhxkhw/edit?usp=sharing"",""ปทุมธานี!I346"")"),0)</f>
        <v>0</v>
      </c>
      <c r="J451" s="189">
        <f ca="1">IFERROR(__xludf.DUMMYFUNCTION("IMPORTRANGE(""https://docs.google.com/spreadsheets/d/1SX6NBoVAgQJ6U1MVXOaj8PK2l7WJ3RER9xtqwdhxkhw/edit?usp=sharing"",""ปทุมธานี!J346"")"),0)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IFERROR(__xludf.DUMMYFUNCTION("IMPORTRANGE(""https://docs.google.com/spreadsheets/d/1SX6NBoVAgQJ6U1MVXOaj8PK2l7WJ3RER9xtqwdhxkhw/edit?usp=sharing"",""ปทุมธานี!I347"")"),0)</f>
        <v>0</v>
      </c>
      <c r="J452" s="189">
        <f ca="1">IFERROR(__xludf.DUMMYFUNCTION("IMPORTRANGE(""https://docs.google.com/spreadsheets/d/1SX6NBoVAgQJ6U1MVXOaj8PK2l7WJ3RER9xtqwdhxkhw/edit?usp=sharing"",""ปทุมธานี!J347"")"),0)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IFERROR(__xludf.DUMMYFUNCTION("IMPORTRANGE(""https://docs.google.com/spreadsheets/d/1SX6NBoVAgQJ6U1MVXOaj8PK2l7WJ3RER9xtqwdhxkhw/edit?usp=sharing"",""ปทุมธานี!J348"")"),0)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IFERROR(__xludf.DUMMYFUNCTION("IMPORTRANGE(""https://docs.google.com/spreadsheets/d/1SX6NBoVAgQJ6U1MVXOaj8PK2l7WJ3RER9xtqwdhxkhw/edit?usp=sharing"",""ปทุมธานี!J349"")"),0)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IFERROR(__xludf.DUMMYFUNCTION("IMPORTRANGE(""https://docs.google.com/spreadsheets/d/1SX6NBoVAgQJ6U1MVXOaj8PK2l7WJ3RER9xtqwdhxkhw/edit?usp=sharing"",""ปทุมธานี!L351"")"),0)</f>
        <v>0</v>
      </c>
      <c r="M456" s="166"/>
      <c r="N456" s="170">
        <f ca="1">IFERROR(__xludf.DUMMYFUNCTION("IMPORTRANGE(""https://docs.google.com/spreadsheets/d/1SX6NBoVAgQJ6U1MVXOaj8PK2l7WJ3RER9xtqwdhxkhw/edit?usp=sharing"",""ปทุมธานี!M351"")"),0)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IFERROR(__xludf.DUMMYFUNCTION("IMPORTRANGE(""https://docs.google.com/spreadsheets/d/1SX6NBoVAgQJ6U1MVXOaj8PK2l7WJ3RER9xtqwdhxkhw/edit?usp=sharing"",""ปทุมธานี!L352"")"),0)</f>
        <v>0</v>
      </c>
      <c r="M457" s="167"/>
      <c r="N457" s="170">
        <f ca="1">IFERROR(__xludf.DUMMYFUNCTION("IMPORTRANGE(""https://docs.google.com/spreadsheets/d/1SX6NBoVAgQJ6U1MVXOaj8PK2l7WJ3RER9xtqwdhxkhw/edit?usp=sharing"",""ปทุมธานี!M352"")"),0)</f>
        <v>0</v>
      </c>
      <c r="O457" s="170">
        <f t="shared" ca="1" si="116"/>
        <v>0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IFERROR(__xludf.DUMMYFUNCTION("IMPORTRANGE(""https://docs.google.com/spreadsheets/d/1SX6NBoVAgQJ6U1MVXOaj8PK2l7WJ3RER9xtqwdhxkhw/edit?usp=sharing"",""ปทุมธานี!L353"")"),0)</f>
        <v>0</v>
      </c>
      <c r="M458" s="170"/>
      <c r="N458" s="170">
        <f ca="1">IFERROR(__xludf.DUMMYFUNCTION("IMPORTRANGE(""https://docs.google.com/spreadsheets/d/1SX6NBoVAgQJ6U1MVXOaj8PK2l7WJ3RER9xtqwdhxkhw/edit?usp=sharing"",""ปทุมธานี!M353"")"),0)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IFERROR(__xludf.DUMMYFUNCTION("IMPORTRANGE(""https://docs.google.com/spreadsheets/d/1SX6NBoVAgQJ6U1MVXOaj8PK2l7WJ3RER9xtqwdhxkhw/edit?usp=sharing"",""ปทุมธานี!L354"")"),0)</f>
        <v>0</v>
      </c>
      <c r="M459" s="170"/>
      <c r="N459" s="170">
        <f ca="1">IFERROR(__xludf.DUMMYFUNCTION("IMPORTRANGE(""https://docs.google.com/spreadsheets/d/1SX6NBoVAgQJ6U1MVXOaj8PK2l7WJ3RER9xtqwdhxkhw/edit?usp=sharing"",""ปทุมธานี!M354"")"),0)</f>
        <v>0</v>
      </c>
      <c r="O459" s="170">
        <f t="shared" ca="1" si="116"/>
        <v>0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IFERROR(__xludf.DUMMYFUNCTION("IMPORTRANGE(""https://docs.google.com/spreadsheets/d/1SX6NBoVAgQJ6U1MVXOaj8PK2l7WJ3RER9xtqwdhxkhw/edit?usp=sharing"",""ปทุมธานี!M355"")"),0)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IFERROR(__xludf.DUMMYFUNCTION("IMPORTRANGE(""https://docs.google.com/spreadsheets/d/1SX6NBoVAgQJ6U1MVXOaj8PK2l7WJ3RER9xtqwdhxkhw/edit?usp=sharing"",""ปทุมธานี!M356"")"),0)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IFERROR(__xludf.DUMMYFUNCTION("IMPORTRANGE(""https://docs.google.com/spreadsheets/d/1SX6NBoVAgQJ6U1MVXOaj8PK2l7WJ3RER9xtqwdhxkhw/edit?usp=sharing"",""ปทุมธานี!I362"")"),0)</f>
        <v>0</v>
      </c>
      <c r="J467" s="190">
        <f ca="1">IFERROR(__xludf.DUMMYFUNCTION("IMPORTRANGE(""https://docs.google.com/spreadsheets/d/1SX6NBoVAgQJ6U1MVXOaj8PK2l7WJ3RER9xtqwdhxkhw/edit?usp=sharing"",""ปทุมธานี!J362"")"),0)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IFERROR(__xludf.DUMMYFUNCTION("IMPORTRANGE(""https://docs.google.com/spreadsheets/d/1SX6NBoVAgQJ6U1MVXOaj8PK2l7WJ3RER9xtqwdhxkhw/edit?usp=sharing"",""ปทุมธานี!I363"")"),0)</f>
        <v>0</v>
      </c>
      <c r="J468" s="190">
        <f ca="1">IFERROR(__xludf.DUMMYFUNCTION("IMPORTRANGE(""https://docs.google.com/spreadsheets/d/1SX6NBoVAgQJ6U1MVXOaj8PK2l7WJ3RER9xtqwdhxkhw/edit?usp=sharing"",""ปทุมธานี!J363"")"),0)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IFERROR(__xludf.DUMMYFUNCTION("IMPORTRANGE(""https://docs.google.com/spreadsheets/d/1SX6NBoVAgQJ6U1MVXOaj8PK2l7WJ3RER9xtqwdhxkhw/edit?usp=sharing"",""ปทุมธานี!I364"")"),0)</f>
        <v>0</v>
      </c>
      <c r="J469" s="190">
        <f ca="1">IFERROR(__xludf.DUMMYFUNCTION("IMPORTRANGE(""https://docs.google.com/spreadsheets/d/1SX6NBoVAgQJ6U1MVXOaj8PK2l7WJ3RER9xtqwdhxkhw/edit?usp=sharing"",""ปทุมธานี!J364"")"),0)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IFERROR(__xludf.DUMMYFUNCTION("IMPORTRANGE(""https://docs.google.com/spreadsheets/d/1SX6NBoVAgQJ6U1MVXOaj8PK2l7WJ3RER9xtqwdhxkhw/edit?usp=sharing"",""ปทุมธานี!I365"")"),0)</f>
        <v>0</v>
      </c>
      <c r="J470" s="190">
        <f ca="1">IFERROR(__xludf.DUMMYFUNCTION("IMPORTRANGE(""https://docs.google.com/spreadsheets/d/1SX6NBoVAgQJ6U1MVXOaj8PK2l7WJ3RER9xtqwdhxkhw/edit?usp=sharing"",""ปทุมธานี!J365"")"),0)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IFERROR(__xludf.DUMMYFUNCTION("IMPORTRANGE(""https://docs.google.com/spreadsheets/d/1SX6NBoVAgQJ6U1MVXOaj8PK2l7WJ3RER9xtqwdhxkhw/edit?usp=sharing"",""ปทุมธานี!I366"")"),0)</f>
        <v>0</v>
      </c>
      <c r="J471" s="190">
        <f ca="1">IFERROR(__xludf.DUMMYFUNCTION("IMPORTRANGE(""https://docs.google.com/spreadsheets/d/1SX6NBoVAgQJ6U1MVXOaj8PK2l7WJ3RER9xtqwdhxkhw/edit?usp=sharing"",""ปทุมธานี!J366"")"),0)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IFERROR(__xludf.DUMMYFUNCTION("IMPORTRANGE(""https://docs.google.com/spreadsheets/d/1SX6NBoVAgQJ6U1MVXOaj8PK2l7WJ3RER9xtqwdhxkhw/edit?usp=sharing"",""ปทุมธานี!I367"")"),0)</f>
        <v>0</v>
      </c>
      <c r="J472" s="190">
        <f ca="1">IFERROR(__xludf.DUMMYFUNCTION("IMPORTRANGE(""https://docs.google.com/spreadsheets/d/1SX6NBoVAgQJ6U1MVXOaj8PK2l7WJ3RER9xtqwdhxkhw/edit?usp=sharing"",""ปทุมธานี!J367"")"),0)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IFERROR(__xludf.DUMMYFUNCTION("IMPORTRANGE(""https://docs.google.com/spreadsheets/d/1SX6NBoVAgQJ6U1MVXOaj8PK2l7WJ3RER9xtqwdhxkhw/edit?usp=sharing"",""ปทุมธานี!I370"")"),0)</f>
        <v>0</v>
      </c>
      <c r="J475" s="190">
        <f ca="1">IFERROR(__xludf.DUMMYFUNCTION("IMPORTRANGE(""https://docs.google.com/spreadsheets/d/1SX6NBoVAgQJ6U1MVXOaj8PK2l7WJ3RER9xtqwdhxkhw/edit?usp=sharing"",""ปทุมธานี!J370"")"),0)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IFERROR(__xludf.DUMMYFUNCTION("IMPORTRANGE(""https://docs.google.com/spreadsheets/d/1SX6NBoVAgQJ6U1MVXOaj8PK2l7WJ3RER9xtqwdhxkhw/edit?usp=sharing"",""ปทุมธานี!I371"")"),0)</f>
        <v>0</v>
      </c>
      <c r="J476" s="190">
        <f ca="1">IFERROR(__xludf.DUMMYFUNCTION("IMPORTRANGE(""https://docs.google.com/spreadsheets/d/1SX6NBoVAgQJ6U1MVXOaj8PK2l7WJ3RER9xtqwdhxkhw/edit?usp=sharing"",""ปทุมธานี!J371"")"),0)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IFERROR(__xludf.DUMMYFUNCTION("IMPORTRANGE(""https://docs.google.com/spreadsheets/d/1SX6NBoVAgQJ6U1MVXOaj8PK2l7WJ3RER9xtqwdhxkhw/edit?usp=sharing"",""ปทุมธานี!I372"")"),0)</f>
        <v>0</v>
      </c>
      <c r="J477" s="190">
        <f ca="1">IFERROR(__xludf.DUMMYFUNCTION("IMPORTRANGE(""https://docs.google.com/spreadsheets/d/1SX6NBoVAgQJ6U1MVXOaj8PK2l7WJ3RER9xtqwdhxkhw/edit?usp=sharing"",""ปทุมธานี!J372"")"),0)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IFERROR(__xludf.DUMMYFUNCTION("IMPORTRANGE(""https://docs.google.com/spreadsheets/d/1SX6NBoVAgQJ6U1MVXOaj8PK2l7WJ3RER9xtqwdhxkhw/edit?usp=sharing"",""ปทุมธานี!I373"")"),0)</f>
        <v>0</v>
      </c>
      <c r="J478" s="190">
        <f ca="1">IFERROR(__xludf.DUMMYFUNCTION("IMPORTRANGE(""https://docs.google.com/spreadsheets/d/1SX6NBoVAgQJ6U1MVXOaj8PK2l7WJ3RER9xtqwdhxkhw/edit?usp=sharing"",""ปทุมธานี!J373"")"),0)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IFERROR(__xludf.DUMMYFUNCTION("IMPORTRANGE(""https://docs.google.com/spreadsheets/d/1SX6NBoVAgQJ6U1MVXOaj8PK2l7WJ3RER9xtqwdhxkhw/edit?usp=sharing"",""ปทุมธานี!I374"")"),0)</f>
        <v>0</v>
      </c>
      <c r="J479" s="190">
        <f ca="1">IFERROR(__xludf.DUMMYFUNCTION("IMPORTRANGE(""https://docs.google.com/spreadsheets/d/1SX6NBoVAgQJ6U1MVXOaj8PK2l7WJ3RER9xtqwdhxkhw/edit?usp=sharing"",""ปทุมธานี!J374"")"),0)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IFERROR(__xludf.DUMMYFUNCTION("IMPORTRANGE(""https://docs.google.com/spreadsheets/d/1SX6NBoVAgQJ6U1MVXOaj8PK2l7WJ3RER9xtqwdhxkhw/edit?usp=sharing"",""ปทุมธานี!I375"")"),0)</f>
        <v>0</v>
      </c>
      <c r="J480" s="190">
        <f ca="1">IFERROR(__xludf.DUMMYFUNCTION("IMPORTRANGE(""https://docs.google.com/spreadsheets/d/1SX6NBoVAgQJ6U1MVXOaj8PK2l7WJ3RER9xtqwdhxkhw/edit?usp=sharing"",""ปทุมธานี!J375"")"),0)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IFERROR(__xludf.DUMMYFUNCTION("IMPORTRANGE(""https://docs.google.com/spreadsheets/d/1SX6NBoVAgQJ6U1MVXOaj8PK2l7WJ3RER9xtqwdhxkhw/edit?usp=sharing"",""ปทุมธานี!I378"")"),0)</f>
        <v>0</v>
      </c>
      <c r="J483" s="190">
        <f ca="1">IFERROR(__xludf.DUMMYFUNCTION("IMPORTRANGE(""https://docs.google.com/spreadsheets/d/1SX6NBoVAgQJ6U1MVXOaj8PK2l7WJ3RER9xtqwdhxkhw/edit?usp=sharing"",""ปทุมธานี!J378"")"),0)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IFERROR(__xludf.DUMMYFUNCTION("IMPORTRANGE(""https://docs.google.com/spreadsheets/d/1SX6NBoVAgQJ6U1MVXOaj8PK2l7WJ3RER9xtqwdhxkhw/edit?usp=sharing"",""ปทุมธานี!I379"")"),0)</f>
        <v>0</v>
      </c>
      <c r="J484" s="190">
        <f ca="1">IFERROR(__xludf.DUMMYFUNCTION("IMPORTRANGE(""https://docs.google.com/spreadsheets/d/1SX6NBoVAgQJ6U1MVXOaj8PK2l7WJ3RER9xtqwdhxkhw/edit?usp=sharing"",""ปทุมธานี!J379"")"),0)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IFERROR(__xludf.DUMMYFUNCTION("IMPORTRANGE(""https://docs.google.com/spreadsheets/d/1SX6NBoVAgQJ6U1MVXOaj8PK2l7WJ3RER9xtqwdhxkhw/edit?usp=sharing"",""ปทุมธานี!I380"")"),0)</f>
        <v>0</v>
      </c>
      <c r="J485" s="190">
        <f ca="1">IFERROR(__xludf.DUMMYFUNCTION("IMPORTRANGE(""https://docs.google.com/spreadsheets/d/1SX6NBoVAgQJ6U1MVXOaj8PK2l7WJ3RER9xtqwdhxkhw/edit?usp=sharing"",""ปทุมธานี!J380"")"),0)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IFERROR(__xludf.DUMMYFUNCTION("IMPORTRANGE(""https://docs.google.com/spreadsheets/d/1SX6NBoVAgQJ6U1MVXOaj8PK2l7WJ3RER9xtqwdhxkhw/edit?usp=sharing"",""ปทุมธานี!I381"")"),0)</f>
        <v>0</v>
      </c>
      <c r="J486" s="190">
        <f ca="1">IFERROR(__xludf.DUMMYFUNCTION("IMPORTRANGE(""https://docs.google.com/spreadsheets/d/1SX6NBoVAgQJ6U1MVXOaj8PK2l7WJ3RER9xtqwdhxkhw/edit?usp=sharing"",""ปทุมธานี!J381"")"),0)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IFERROR(__xludf.DUMMYFUNCTION("IMPORTRANGE(""https://docs.google.com/spreadsheets/d/1SX6NBoVAgQJ6U1MVXOaj8PK2l7WJ3RER9xtqwdhxkhw/edit?usp=sharing"",""ปทุมธานี!I384"")"),0)</f>
        <v>0</v>
      </c>
      <c r="J489" s="190">
        <f ca="1">IFERROR(__xludf.DUMMYFUNCTION("IMPORTRANGE(""https://docs.google.com/spreadsheets/d/1SX6NBoVAgQJ6U1MVXOaj8PK2l7WJ3RER9xtqwdhxkhw/edit?usp=sharing"",""ปทุมธานี!J384"")"),0)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IFERROR(__xludf.DUMMYFUNCTION("IMPORTRANGE(""https://docs.google.com/spreadsheets/d/1SX6NBoVAgQJ6U1MVXOaj8PK2l7WJ3RER9xtqwdhxkhw/edit?usp=sharing"",""ปทุมธานี!I385"")"),0)</f>
        <v>0</v>
      </c>
      <c r="J490" s="190">
        <f ca="1">IFERROR(__xludf.DUMMYFUNCTION("IMPORTRANGE(""https://docs.google.com/spreadsheets/d/1SX6NBoVAgQJ6U1MVXOaj8PK2l7WJ3RER9xtqwdhxkhw/edit?usp=sharing"",""ปทุมธานี!J385"")"),0)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IFERROR(__xludf.DUMMYFUNCTION("IMPORTRANGE(""https://docs.google.com/spreadsheets/d/1SX6NBoVAgQJ6U1MVXOaj8PK2l7WJ3RER9xtqwdhxkhw/edit?usp=sharing"",""ปทุมธานี!I386"")"),0)</f>
        <v>0</v>
      </c>
      <c r="J491" s="190">
        <f ca="1">IFERROR(__xludf.DUMMYFUNCTION("IMPORTRANGE(""https://docs.google.com/spreadsheets/d/1SX6NBoVAgQJ6U1MVXOaj8PK2l7WJ3RER9xtqwdhxkhw/edit?usp=sharing"",""ปทุมธานี!J386"")"),0)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IFERROR(__xludf.DUMMYFUNCTION("IMPORTRANGE(""https://docs.google.com/spreadsheets/d/1SX6NBoVAgQJ6U1MVXOaj8PK2l7WJ3RER9xtqwdhxkhw/edit?usp=sharing"",""ปทุมธานี!I387"")"),0)</f>
        <v>0</v>
      </c>
      <c r="J492" s="190">
        <f ca="1">IFERROR(__xludf.DUMMYFUNCTION("IMPORTRANGE(""https://docs.google.com/spreadsheets/d/1SX6NBoVAgQJ6U1MVXOaj8PK2l7WJ3RER9xtqwdhxkhw/edit?usp=sharing"",""ปทุมธานี!J387"")"),0)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IFERROR(__xludf.DUMMYFUNCTION("IMPORTRANGE(""https://docs.google.com/spreadsheets/d/1SX6NBoVAgQJ6U1MVXOaj8PK2l7WJ3RER9xtqwdhxkhw/edit?usp=sharing"",""ปทุมธานี!I388"")"),0)</f>
        <v>0</v>
      </c>
      <c r="J493" s="190">
        <f ca="1">IFERROR(__xludf.DUMMYFUNCTION("IMPORTRANGE(""https://docs.google.com/spreadsheets/d/1SX6NBoVAgQJ6U1MVXOaj8PK2l7WJ3RER9xtqwdhxkhw/edit?usp=sharing"",""ปทุมธานี!J388"")"),0)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IFERROR(__xludf.DUMMYFUNCTION("IMPORTRANGE(""https://docs.google.com/spreadsheets/d/1SX6NBoVAgQJ6U1MVXOaj8PK2l7WJ3RER9xtqwdhxkhw/edit?usp=sharing"",""ปทุมธานี!I395"")"),0)</f>
        <v>0</v>
      </c>
      <c r="J500" s="164">
        <f ca="1">IFERROR(__xludf.DUMMYFUNCTION("IMPORTRANGE(""https://docs.google.com/spreadsheets/d/1SX6NBoVAgQJ6U1MVXOaj8PK2l7WJ3RER9xtqwdhxkhw/edit?usp=sharing"",""ปทุมธานี!J395"")"),0)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IFERROR(__xludf.DUMMYFUNCTION("IMPORTRANGE(""https://docs.google.com/spreadsheets/d/1SX6NBoVAgQJ6U1MVXOaj8PK2l7WJ3RER9xtqwdhxkhw/edit?usp=sharing"",""ปทุมธานี!I396"")"),0)</f>
        <v>0</v>
      </c>
      <c r="J501" s="164">
        <f ca="1">IFERROR(__xludf.DUMMYFUNCTION("IMPORTRANGE(""https://docs.google.com/spreadsheets/d/1SX6NBoVAgQJ6U1MVXOaj8PK2l7WJ3RER9xtqwdhxkhw/edit?usp=sharing"",""ปทุมธานี!J396"")"),0)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IFERROR(__xludf.DUMMYFUNCTION("IMPORTRANGE(""https://docs.google.com/spreadsheets/d/1SX6NBoVAgQJ6U1MVXOaj8PK2l7WJ3RER9xtqwdhxkhw/edit?usp=sharing"",""ปทุมธานี!I397"")"),0)</f>
        <v>0</v>
      </c>
      <c r="J502" s="190">
        <f ca="1">IFERROR(__xludf.DUMMYFUNCTION("IMPORTRANGE(""https://docs.google.com/spreadsheets/d/1SX6NBoVAgQJ6U1MVXOaj8PK2l7WJ3RER9xtqwdhxkhw/edit?usp=sharing"",""ปทุมธานี!J397"")"),0)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IFERROR(__xludf.DUMMYFUNCTION("IMPORTRANGE(""https://docs.google.com/spreadsheets/d/1SX6NBoVAgQJ6U1MVXOaj8PK2l7WJ3RER9xtqwdhxkhw/edit?usp=sharing"",""ปทุมธานี!I398"")"),0)</f>
        <v>0</v>
      </c>
      <c r="J503" s="199">
        <f ca="1">IFERROR(__xludf.DUMMYFUNCTION("IMPORTRANGE(""https://docs.google.com/spreadsheets/d/1SX6NBoVAgQJ6U1MVXOaj8PK2l7WJ3RER9xtqwdhxkhw/edit?usp=sharing"",""ปทุมธานี!J398"")"),0)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IFERROR(__xludf.DUMMYFUNCTION("IMPORTRANGE(""https://docs.google.com/spreadsheets/d/1SX6NBoVAgQJ6U1MVXOaj8PK2l7WJ3RER9xtqwdhxkhw/edit?usp=sharing"",""ปทุมธานี!I399"")"),0)</f>
        <v>0</v>
      </c>
      <c r="J504" s="190">
        <f ca="1">IFERROR(__xludf.DUMMYFUNCTION("IMPORTRANGE(""https://docs.google.com/spreadsheets/d/1SX6NBoVAgQJ6U1MVXOaj8PK2l7WJ3RER9xtqwdhxkhw/edit?usp=sharing"",""ปทุมธานี!J399"")"),0)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IFERROR(__xludf.DUMMYFUNCTION("IMPORTRANGE(""https://docs.google.com/spreadsheets/d/1SX6NBoVAgQJ6U1MVXOaj8PK2l7WJ3RER9xtqwdhxkhw/edit?usp=sharing"",""ปทุมธานี!I400"")"),0)</f>
        <v>0</v>
      </c>
      <c r="J505" s="199">
        <f ca="1">IFERROR(__xludf.DUMMYFUNCTION("IMPORTRANGE(""https://docs.google.com/spreadsheets/d/1SX6NBoVAgQJ6U1MVXOaj8PK2l7WJ3RER9xtqwdhxkhw/edit?usp=sharing"",""ปทุมธานี!J400"")"),0)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IFERROR(__xludf.DUMMYFUNCTION("IMPORTRANGE(""https://docs.google.com/spreadsheets/d/1SX6NBoVAgQJ6U1MVXOaj8PK2l7WJ3RER9xtqwdhxkhw/edit?usp=sharing"",""ปทุมธานี!I401"")"),0)</f>
        <v>0</v>
      </c>
      <c r="J506" s="190">
        <f ca="1">IFERROR(__xludf.DUMMYFUNCTION("IMPORTRANGE(""https://docs.google.com/spreadsheets/d/1SX6NBoVAgQJ6U1MVXOaj8PK2l7WJ3RER9xtqwdhxkhw/edit?usp=sharing"",""ปทุมธานี!J401"")"),0)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IFERROR(__xludf.DUMMYFUNCTION("IMPORTRANGE(""https://docs.google.com/spreadsheets/d/1SX6NBoVAgQJ6U1MVXOaj8PK2l7WJ3RER9xtqwdhxkhw/edit?usp=sharing"",""ปทุมธานี!I402"")"),0)</f>
        <v>0</v>
      </c>
      <c r="J507" s="199">
        <f ca="1">IFERROR(__xludf.DUMMYFUNCTION("IMPORTRANGE(""https://docs.google.com/spreadsheets/d/1SX6NBoVAgQJ6U1MVXOaj8PK2l7WJ3RER9xtqwdhxkhw/edit?usp=sharing"",""ปทุมธานี!J402"")"),0)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IFERROR(__xludf.DUMMYFUNCTION("IMPORTRANGE(""https://docs.google.com/spreadsheets/d/1SX6NBoVAgQJ6U1MVXOaj8PK2l7WJ3RER9xtqwdhxkhw/edit?usp=sharing"",""ปทุมธานี!I403"")"),0)</f>
        <v>0</v>
      </c>
      <c r="J508" s="164">
        <f ca="1">IFERROR(__xludf.DUMMYFUNCTION("IMPORTRANGE(""https://docs.google.com/spreadsheets/d/1SX6NBoVAgQJ6U1MVXOaj8PK2l7WJ3RER9xtqwdhxkhw/edit?usp=sharing"",""ปทุมธานี!J403"")"),0)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IFERROR(__xludf.DUMMYFUNCTION("IMPORTRANGE(""https://docs.google.com/spreadsheets/d/1SX6NBoVAgQJ6U1MVXOaj8PK2l7WJ3RER9xtqwdhxkhw/edit?usp=sharing"",""ปทุมธานี!I404"")"),0)</f>
        <v>0</v>
      </c>
      <c r="J509" s="164">
        <f ca="1">IFERROR(__xludf.DUMMYFUNCTION("IMPORTRANGE(""https://docs.google.com/spreadsheets/d/1SX6NBoVAgQJ6U1MVXOaj8PK2l7WJ3RER9xtqwdhxkhw/edit?usp=sharing"",""ปทุมธานี!J404"")"),0)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IFERROR(__xludf.DUMMYFUNCTION("IMPORTRANGE(""https://docs.google.com/spreadsheets/d/1SX6NBoVAgQJ6U1MVXOaj8PK2l7WJ3RER9xtqwdhxkhw/edit?usp=sharing"",""ปทุมธานี!I405"")"),0)</f>
        <v>0</v>
      </c>
      <c r="J510" s="199">
        <f ca="1">IFERROR(__xludf.DUMMYFUNCTION("IMPORTRANGE(""https://docs.google.com/spreadsheets/d/1SX6NBoVAgQJ6U1MVXOaj8PK2l7WJ3RER9xtqwdhxkhw/edit?usp=sharing"",""ปทุมธานี!J405"")"),0)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IFERROR(__xludf.DUMMYFUNCTION("IMPORTRANGE(""https://docs.google.com/spreadsheets/d/1SX6NBoVAgQJ6U1MVXOaj8PK2l7WJ3RER9xtqwdhxkhw/edit?usp=sharing"",""ปทุมธานี!I406"")"),0)</f>
        <v>0</v>
      </c>
      <c r="J511" s="199">
        <f ca="1">IFERROR(__xludf.DUMMYFUNCTION("IMPORTRANGE(""https://docs.google.com/spreadsheets/d/1SX6NBoVAgQJ6U1MVXOaj8PK2l7WJ3RER9xtqwdhxkhw/edit?usp=sharing"",""ปทุมธานี!J406"")"),0)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IFERROR(__xludf.DUMMYFUNCTION("IMPORTRANGE(""https://docs.google.com/spreadsheets/d/1SX6NBoVAgQJ6U1MVXOaj8PK2l7WJ3RER9xtqwdhxkhw/edit?usp=sharing"",""ปทุมธานี!I407"")"),0)</f>
        <v>0</v>
      </c>
      <c r="J512" s="199">
        <f ca="1">IFERROR(__xludf.DUMMYFUNCTION("IMPORTRANGE(""https://docs.google.com/spreadsheets/d/1SX6NBoVAgQJ6U1MVXOaj8PK2l7WJ3RER9xtqwdhxkhw/edit?usp=sharing"",""ปทุมธานี!J407"")"),0)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IFERROR(__xludf.DUMMYFUNCTION("IMPORTRANGE(""https://docs.google.com/spreadsheets/d/1SX6NBoVAgQJ6U1MVXOaj8PK2l7WJ3RER9xtqwdhxkhw/edit?usp=sharing"",""ปทุมธานี!I408"")"),0)</f>
        <v>0</v>
      </c>
      <c r="J513" s="199">
        <f ca="1">IFERROR(__xludf.DUMMYFUNCTION("IMPORTRANGE(""https://docs.google.com/spreadsheets/d/1SX6NBoVAgQJ6U1MVXOaj8PK2l7WJ3RER9xtqwdhxkhw/edit?usp=sharing"",""ปทุมธานี!J408"")"),0)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IFERROR(__xludf.DUMMYFUNCTION("IMPORTRANGE(""https://docs.google.com/spreadsheets/d/1SX6NBoVAgQJ6U1MVXOaj8PK2l7WJ3RER9xtqwdhxkhw/edit?usp=sharing"",""ปทุมธานี!I409"")"),0)</f>
        <v>0</v>
      </c>
      <c r="J514" s="199">
        <f ca="1">IFERROR(__xludf.DUMMYFUNCTION("IMPORTRANGE(""https://docs.google.com/spreadsheets/d/1SX6NBoVAgQJ6U1MVXOaj8PK2l7WJ3RER9xtqwdhxkhw/edit?usp=sharing"",""ปทุมธานี!J409"")"),0)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IFERROR(__xludf.DUMMYFUNCTION("IMPORTRANGE(""https://docs.google.com/spreadsheets/d/1SX6NBoVAgQJ6U1MVXOaj8PK2l7WJ3RER9xtqwdhxkhw/edit?usp=sharing"",""ปทุมธานี!I410"")"),0)</f>
        <v>0</v>
      </c>
      <c r="J515" s="199">
        <f ca="1">IFERROR(__xludf.DUMMYFUNCTION("IMPORTRANGE(""https://docs.google.com/spreadsheets/d/1SX6NBoVAgQJ6U1MVXOaj8PK2l7WJ3RER9xtqwdhxkhw/edit?usp=sharing"",""ปทุมธานี!J410"")"),0)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IFERROR(__xludf.DUMMYFUNCTION("IMPORTRANGE(""https://docs.google.com/spreadsheets/d/1SX6NBoVAgQJ6U1MVXOaj8PK2l7WJ3RER9xtqwdhxkhw/edit?usp=sharing"",""ปทุมธานี!I412"")"),0)</f>
        <v>0</v>
      </c>
      <c r="J517" s="284">
        <f ca="1">IFERROR(__xludf.DUMMYFUNCTION("IMPORTRANGE(""https://docs.google.com/spreadsheets/d/1SX6NBoVAgQJ6U1MVXOaj8PK2l7WJ3RER9xtqwdhxkhw/edit?usp=sharing"",""ปทุมธานี!J412"")"),0)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IFERROR(__xludf.DUMMYFUNCTION("IMPORTRANGE(""https://docs.google.com/spreadsheets/d/1SX6NBoVAgQJ6U1MVXOaj8PK2l7WJ3RER9xtqwdhxkhw/edit?usp=sharing"",""ปทุมธานี!I413"")"),0)</f>
        <v>0</v>
      </c>
      <c r="J518" s="284">
        <f ca="1">IFERROR(__xludf.DUMMYFUNCTION("IMPORTRANGE(""https://docs.google.com/spreadsheets/d/1SX6NBoVAgQJ6U1MVXOaj8PK2l7WJ3RER9xtqwdhxkhw/edit?usp=sharing"",""ปทุมธานี!J413"")"),0)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IFERROR(__xludf.DUMMYFUNCTION("IMPORTRANGE(""https://docs.google.com/spreadsheets/d/1SX6NBoVAgQJ6U1MVXOaj8PK2l7WJ3RER9xtqwdhxkhw/edit?usp=sharing"",""ปทุมธานี!I414"")"),0)</f>
        <v>0</v>
      </c>
      <c r="J519" s="189">
        <f ca="1">IFERROR(__xludf.DUMMYFUNCTION("IMPORTRANGE(""https://docs.google.com/spreadsheets/d/1SX6NBoVAgQJ6U1MVXOaj8PK2l7WJ3RER9xtqwdhxkhw/edit?usp=sharing"",""ปทุมธานี!J414"")"),0)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IFERROR(__xludf.DUMMYFUNCTION("IMPORTRANGE(""https://docs.google.com/spreadsheets/d/1SX6NBoVAgQJ6U1MVXOaj8PK2l7WJ3RER9xtqwdhxkhw/edit?usp=sharing"",""ปทุมธานี!I415"")"),0)</f>
        <v>0</v>
      </c>
      <c r="J520" s="189">
        <f ca="1">IFERROR(__xludf.DUMMYFUNCTION("IMPORTRANGE(""https://docs.google.com/spreadsheets/d/1SX6NBoVAgQJ6U1MVXOaj8PK2l7WJ3RER9xtqwdhxkhw/edit?usp=sharing"",""ปทุมธานี!J415"")"),0)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IFERROR(__xludf.DUMMYFUNCTION("IMPORTRANGE(""https://docs.google.com/spreadsheets/d/1SX6NBoVAgQJ6U1MVXOaj8PK2l7WJ3RER9xtqwdhxkhw/edit?usp=sharing"",""ปทุมธานี!I416"")"),0)</f>
        <v>0</v>
      </c>
      <c r="J521" s="189">
        <f ca="1">IFERROR(__xludf.DUMMYFUNCTION("IMPORTRANGE(""https://docs.google.com/spreadsheets/d/1SX6NBoVAgQJ6U1MVXOaj8PK2l7WJ3RER9xtqwdhxkhw/edit?usp=sharing"",""ปทุมธานี!J416"")"),0)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IFERROR(__xludf.DUMMYFUNCTION("IMPORTRANGE(""https://docs.google.com/spreadsheets/d/1SX6NBoVAgQJ6U1MVXOaj8PK2l7WJ3RER9xtqwdhxkhw/edit?usp=sharing"",""ปทุมธานี!I417"")"),0)</f>
        <v>0</v>
      </c>
      <c r="J522" s="189">
        <f ca="1">IFERROR(__xludf.DUMMYFUNCTION("IMPORTRANGE(""https://docs.google.com/spreadsheets/d/1SX6NBoVAgQJ6U1MVXOaj8PK2l7WJ3RER9xtqwdhxkhw/edit?usp=sharing"",""ปทุมธานี!J417"")"),0)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IFERROR(__xludf.DUMMYFUNCTION("IMPORTRANGE(""https://docs.google.com/spreadsheets/d/1SX6NBoVAgQJ6U1MVXOaj8PK2l7WJ3RER9xtqwdhxkhw/edit?usp=sharing"",""ปทุมธานี!I418"")"),0)</f>
        <v>0</v>
      </c>
      <c r="J523" s="189">
        <f ca="1">IFERROR(__xludf.DUMMYFUNCTION("IMPORTRANGE(""https://docs.google.com/spreadsheets/d/1SX6NBoVAgQJ6U1MVXOaj8PK2l7WJ3RER9xtqwdhxkhw/edit?usp=sharing"",""ปทุมธานี!J418"")"),0)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IFERROR(__xludf.DUMMYFUNCTION("IMPORTRANGE(""https://docs.google.com/spreadsheets/d/1SX6NBoVAgQJ6U1MVXOaj8PK2l7WJ3RER9xtqwdhxkhw/edit?usp=sharing"",""ปทุมธานี!I419"")"),0)</f>
        <v>0</v>
      </c>
      <c r="J524" s="189">
        <f ca="1">IFERROR(__xludf.DUMMYFUNCTION("IMPORTRANGE(""https://docs.google.com/spreadsheets/d/1SX6NBoVAgQJ6U1MVXOaj8PK2l7WJ3RER9xtqwdhxkhw/edit?usp=sharing"",""ปทุมธานี!J419"")"),0)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IFERROR(__xludf.DUMMYFUNCTION("IMPORTRANGE(""https://docs.google.com/spreadsheets/d/1SX6NBoVAgQJ6U1MVXOaj8PK2l7WJ3RER9xtqwdhxkhw/edit?usp=sharing"",""ปทุมธานี!I420"")"),0)</f>
        <v>0</v>
      </c>
      <c r="J525" s="284">
        <f ca="1">IFERROR(__xludf.DUMMYFUNCTION("IMPORTRANGE(""https://docs.google.com/spreadsheets/d/1SX6NBoVAgQJ6U1MVXOaj8PK2l7WJ3RER9xtqwdhxkhw/edit?usp=sharing"",""ปทุมธานี!J420"")"),0)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IFERROR(__xludf.DUMMYFUNCTION("IMPORTRANGE(""https://docs.google.com/spreadsheets/d/1SX6NBoVAgQJ6U1MVXOaj8PK2l7WJ3RER9xtqwdhxkhw/edit?usp=sharing"",""ปทุมธานี!I421"")"),0)</f>
        <v>0</v>
      </c>
      <c r="J526" s="284">
        <f ca="1">IFERROR(__xludf.DUMMYFUNCTION("IMPORTRANGE(""https://docs.google.com/spreadsheets/d/1SX6NBoVAgQJ6U1MVXOaj8PK2l7WJ3RER9xtqwdhxkhw/edit?usp=sharing"",""ปทุมธานี!J421"")"),0)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IFERROR(__xludf.DUMMYFUNCTION("IMPORTRANGE(""https://docs.google.com/spreadsheets/d/1SX6NBoVAgQJ6U1MVXOaj8PK2l7WJ3RER9xtqwdhxkhw/edit?usp=sharing"",""ปทุมธานี!I422"")"),0)</f>
        <v>0</v>
      </c>
      <c r="J527" s="199">
        <f ca="1">IFERROR(__xludf.DUMMYFUNCTION("IMPORTRANGE(""https://docs.google.com/spreadsheets/d/1SX6NBoVAgQJ6U1MVXOaj8PK2l7WJ3RER9xtqwdhxkhw/edit?usp=sharing"",""ปทุมธานี!J422"")"),0)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IFERROR(__xludf.DUMMYFUNCTION("IMPORTRANGE(""https://docs.google.com/spreadsheets/d/1SX6NBoVAgQJ6U1MVXOaj8PK2l7WJ3RER9xtqwdhxkhw/edit?usp=sharing"",""ปทุมธานี!I423"")"),0)</f>
        <v>0</v>
      </c>
      <c r="J528" s="199">
        <f ca="1">IFERROR(__xludf.DUMMYFUNCTION("IMPORTRANGE(""https://docs.google.com/spreadsheets/d/1SX6NBoVAgQJ6U1MVXOaj8PK2l7WJ3RER9xtqwdhxkhw/edit?usp=sharing"",""ปทุมธานี!J423"")"),0)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IFERROR(__xludf.DUMMYFUNCTION("IMPORTRANGE(""https://docs.google.com/spreadsheets/d/1SX6NBoVAgQJ6U1MVXOaj8PK2l7WJ3RER9xtqwdhxkhw/edit?usp=sharing"",""ปทุมธานี!I424"")"),0)</f>
        <v>0</v>
      </c>
      <c r="J529" s="199">
        <f ca="1">IFERROR(__xludf.DUMMYFUNCTION("IMPORTRANGE(""https://docs.google.com/spreadsheets/d/1SX6NBoVAgQJ6U1MVXOaj8PK2l7WJ3RER9xtqwdhxkhw/edit?usp=sharing"",""ปทุมธานี!J424"")"),0)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IFERROR(__xludf.DUMMYFUNCTION("IMPORTRANGE(""https://docs.google.com/spreadsheets/d/1SX6NBoVAgQJ6U1MVXOaj8PK2l7WJ3RER9xtqwdhxkhw/edit?usp=sharing"",""ปทุมธานี!I425"")"),0)</f>
        <v>0</v>
      </c>
      <c r="J530" s="199">
        <f ca="1">IFERROR(__xludf.DUMMYFUNCTION("IMPORTRANGE(""https://docs.google.com/spreadsheets/d/1SX6NBoVAgQJ6U1MVXOaj8PK2l7WJ3RER9xtqwdhxkhw/edit?usp=sharing"",""ปทุมธานี!J425"")"),0)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IFERROR(__xludf.DUMMYFUNCTION("IMPORTRANGE(""https://docs.google.com/spreadsheets/d/1SX6NBoVAgQJ6U1MVXOaj8PK2l7WJ3RER9xtqwdhxkhw/edit?usp=sharing"",""ปทุมธานี!I426"")"),0)</f>
        <v>0</v>
      </c>
      <c r="J531" s="199">
        <f ca="1">IFERROR(__xludf.DUMMYFUNCTION("IMPORTRANGE(""https://docs.google.com/spreadsheets/d/1SX6NBoVAgQJ6U1MVXOaj8PK2l7WJ3RER9xtqwdhxkhw/edit?usp=sharing"",""ปทุมธานี!J426"")"),0)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IFERROR(__xludf.DUMMYFUNCTION("IMPORTRANGE(""https://docs.google.com/spreadsheets/d/1SX6NBoVAgQJ6U1MVXOaj8PK2l7WJ3RER9xtqwdhxkhw/edit?usp=sharing"",""ปทุมธานี!M428"")"),29607.02)</f>
        <v>29607.02</v>
      </c>
      <c r="O533" s="412">
        <f t="shared" ref="O533:O537" ca="1" si="118">+IF(L533&gt;0,N533*100/L533,0)</f>
        <v>86.217297612114152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IFERROR(__xludf.DUMMYFUNCTION("IMPORTRANGE(""https://docs.google.com/spreadsheets/d/1SX6NBoVAgQJ6U1MVXOaj8PK2l7WJ3RER9xtqwdhxkhw/edit?usp=sharing"",""ปทุมธานี!L429"")"),0)</f>
        <v>0</v>
      </c>
      <c r="M534" s="166"/>
      <c r="N534" s="170">
        <f ca="1">IFERROR(__xludf.DUMMYFUNCTION("IMPORTRANGE(""https://docs.google.com/spreadsheets/d/1SX6NBoVAgQJ6U1MVXOaj8PK2l7WJ3RER9xtqwdhxkhw/edit?usp=sharing"",""ปทุมธานี!M429"")"),0)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IFERROR(__xludf.DUMMYFUNCTION("IMPORTRANGE(""https://docs.google.com/spreadsheets/d/1SX6NBoVAgQJ6U1MVXOaj8PK2l7WJ3RER9xtqwdhxkhw/edit?usp=sharing"",""ปทุมธานี!L430"")"),34340)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IFERROR(__xludf.DUMMYFUNCTION("IMPORTRANGE(""https://docs.google.com/spreadsheets/d/1SX6NBoVAgQJ6U1MVXOaj8PK2l7WJ3RER9xtqwdhxkhw/edit?usp=sharing"",""ปทุมธานี!M430"")"),29607.02)</f>
        <v>29607.02</v>
      </c>
      <c r="O535" s="170">
        <f t="shared" ca="1" si="118"/>
        <v>86.217297612114152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IFERROR(__xludf.DUMMYFUNCTION("IMPORTRANGE(""https://docs.google.com/spreadsheets/d/1SX6NBoVAgQJ6U1MVXOaj8PK2l7WJ3RER9xtqwdhxkhw/edit?usp=sharing"",""ปทุมธานี!L431"")"),0)</f>
        <v>0</v>
      </c>
      <c r="M536" s="170"/>
      <c r="N536" s="170">
        <f ca="1">IFERROR(__xludf.DUMMYFUNCTION("IMPORTRANGE(""https://docs.google.com/spreadsheets/d/1SX6NBoVAgQJ6U1MVXOaj8PK2l7WJ3RER9xtqwdhxkhw/edit?usp=sharing"",""ปทุมธานี!M431"")"),0)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IFERROR(__xludf.DUMMYFUNCTION("IMPORTRANGE(""https://docs.google.com/spreadsheets/d/1SX6NBoVAgQJ6U1MVXOaj8PK2l7WJ3RER9xtqwdhxkhw/edit?usp=sharing"",""ปทุมธานี!L432"")"),34340)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IFERROR(__xludf.DUMMYFUNCTION("IMPORTRANGE(""https://docs.google.com/spreadsheets/d/1SX6NBoVAgQJ6U1MVXOaj8PK2l7WJ3RER9xtqwdhxkhw/edit?usp=sharing"",""ปทุมธานี!M432"")"),29607.02)</f>
        <v>29607.02</v>
      </c>
      <c r="O537" s="170">
        <f t="shared" ca="1" si="118"/>
        <v>86.217297612114152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IFERROR(__xludf.DUMMYFUNCTION("IMPORTRANGE(""https://docs.google.com/spreadsheets/d/1SX6NBoVAgQJ6U1MVXOaj8PK2l7WJ3RER9xtqwdhxkhw/edit?usp=sharing"",""ปทุมธานี!M433"")"),14700)</f>
        <v>14700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IFERROR(__xludf.DUMMYFUNCTION("IMPORTRANGE(""https://docs.google.com/spreadsheets/d/1SX6NBoVAgQJ6U1MVXOaj8PK2l7WJ3RER9xtqwdhxkhw/edit?usp=sharing"",""ปทุมธานี!M436"")"),14907.02)</f>
        <v>14907.02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IFERROR(__xludf.DUMMYFUNCTION("IMPORTRANGE(""https://docs.google.com/spreadsheets/d/1SX6NBoVAgQJ6U1MVXOaj8PK2l7WJ3RER9xtqwdhxkhw/edit?usp=sharing"",""ปทุมธานี!J438"")"),0)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IFERROR(__xludf.DUMMYFUNCTION("IMPORTRANGE(""https://docs.google.com/spreadsheets/d/1SX6NBoVAgQJ6U1MVXOaj8PK2l7WJ3RER9xtqwdhxkhw/edit?usp=sharing"",""ปทุมธานี!J439"")"),1)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IFERROR(__xludf.DUMMYFUNCTION("IMPORTRANGE(""https://docs.google.com/spreadsheets/d/1SX6NBoVAgQJ6U1MVXOaj8PK2l7WJ3RER9xtqwdhxkhw/edit?usp=sharing"",""ปทุมธานี!J440"")"),1)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IFERROR(__xludf.DUMMYFUNCTION("IMPORTRANGE(""https://docs.google.com/spreadsheets/d/1SX6NBoVAgQJ6U1MVXOaj8PK2l7WJ3RER9xtqwdhxkhw/edit?usp=sharing"",""ปทุมธานี!J441"")"),1)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IFERROR(__xludf.DUMMYFUNCTION("IMPORTRANGE(""https://docs.google.com/spreadsheets/d/1SX6NBoVAgQJ6U1MVXOaj8PK2l7WJ3RER9xtqwdhxkhw/edit?usp=sharing"",""ปทุมธานี!I442"")"),22)</f>
        <v>22</v>
      </c>
      <c r="J547" s="190">
        <f ca="1">IFERROR(__xludf.DUMMYFUNCTION("IMPORTRANGE(""https://docs.google.com/spreadsheets/d/1SX6NBoVAgQJ6U1MVXOaj8PK2l7WJ3RER9xtqwdhxkhw/edit?usp=sharing"",""ปทุมธานี!J442"")"),22)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IFERROR(__xludf.DUMMYFUNCTION("IMPORTRANGE(""https://docs.google.com/spreadsheets/d/1SX6NBoVAgQJ6U1MVXOaj8PK2l7WJ3RER9xtqwdhxkhw/edit?usp=sharing"",""ปทุมธานี!J166"")"),0)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IFERROR(__xludf.DUMMYFUNCTION("IMPORTRANGE(""https://docs.google.com/spreadsheets/d/1SX6NBoVAgQJ6U1MVXOaj8PK2l7WJ3RER9xtqwdhxkhw/edit?usp=sharing"",""ปทุมธานี!J444"")"),0)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IFERROR(__xludf.DUMMYFUNCTION("IMPORTRANGE(""https://docs.google.com/spreadsheets/d/1SX6NBoVAgQJ6U1MVXOaj8PK2l7WJ3RER9xtqwdhxkhw/edit?usp=sharing"",""ปทุมธานี!L447"")"),0)</f>
        <v>0</v>
      </c>
      <c r="M552" s="166"/>
      <c r="N552" s="170">
        <f ca="1">IFERROR(__xludf.DUMMYFUNCTION("IMPORTRANGE(""https://docs.google.com/spreadsheets/d/1SX6NBoVAgQJ6U1MVXOaj8PK2l7WJ3RER9xtqwdhxkhw/edit?usp=sharing"",""ปทุมธานี!M447"")"),0)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IFERROR(__xludf.DUMMYFUNCTION("IMPORTRANGE(""https://docs.google.com/spreadsheets/d/1SX6NBoVAgQJ6U1MVXOaj8PK2l7WJ3RER9xtqwdhxkhw/edit?usp=sharing"",""ปทุมธานี!L448"")"),0)</f>
        <v>0</v>
      </c>
      <c r="M553" s="167"/>
      <c r="N553" s="170">
        <f ca="1">IFERROR(__xludf.DUMMYFUNCTION("IMPORTRANGE(""https://docs.google.com/spreadsheets/d/1SX6NBoVAgQJ6U1MVXOaj8PK2l7WJ3RER9xtqwdhxkhw/edit?usp=sharing"",""ปทุมธานี!M448"")"),0)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IFERROR(__xludf.DUMMYFUNCTION("IMPORTRANGE(""https://docs.google.com/spreadsheets/d/1SX6NBoVAgQJ6U1MVXOaj8PK2l7WJ3RER9xtqwdhxkhw/edit?usp=sharing"",""ปทุมธานี!L449"")"),0)</f>
        <v>0</v>
      </c>
      <c r="M554" s="170"/>
      <c r="N554" s="170">
        <f ca="1">IFERROR(__xludf.DUMMYFUNCTION("IMPORTRANGE(""https://docs.google.com/spreadsheets/d/1SX6NBoVAgQJ6U1MVXOaj8PK2l7WJ3RER9xtqwdhxkhw/edit?usp=sharing"",""ปทุมธานี!M449"")"),0)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IFERROR(__xludf.DUMMYFUNCTION("IMPORTRANGE(""https://docs.google.com/spreadsheets/d/1SX6NBoVAgQJ6U1MVXOaj8PK2l7WJ3RER9xtqwdhxkhw/edit?usp=sharing"",""ปทุมธานี!L450"")"),0)</f>
        <v>0</v>
      </c>
      <c r="M555" s="170"/>
      <c r="N555" s="170">
        <f ca="1">IFERROR(__xludf.DUMMYFUNCTION("IMPORTRANGE(""https://docs.google.com/spreadsheets/d/1SX6NBoVAgQJ6U1MVXOaj8PK2l7WJ3RER9xtqwdhxkhw/edit?usp=sharing"",""ปทุมธานี!M450"")"),0)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IFERROR(__xludf.DUMMYFUNCTION("IMPORTRANGE(""https://docs.google.com/spreadsheets/d/1SX6NBoVAgQJ6U1MVXOaj8PK2l7WJ3RER9xtqwdhxkhw/edit?usp=sharing"",""ปทุมธานี!M451"")"),0)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IFERROR(__xludf.DUMMYFUNCTION("IMPORTRANGE(""https://docs.google.com/spreadsheets/d/1SX6NBoVAgQJ6U1MVXOaj8PK2l7WJ3RER9xtqwdhxkhw/edit?usp=sharing"",""ปทุมธานี!M452"")"),0)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IFERROR(__xludf.DUMMYFUNCTION("IMPORTRANGE(""https://docs.google.com/spreadsheets/d/1SX6NBoVAgQJ6U1MVXOaj8PK2l7WJ3RER9xtqwdhxkhw/edit?usp=sharing"",""ปทุมธานี!M453"")"),0)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IFERROR(__xludf.DUMMYFUNCTION("IMPORTRANGE(""https://docs.google.com/spreadsheets/d/1SX6NBoVAgQJ6U1MVXOaj8PK2l7WJ3RER9xtqwdhxkhw/edit?usp=sharing"",""ปทุมธานี!M454"")"),0)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IFERROR(__xludf.DUMMYFUNCTION("IMPORTRANGE(""https://docs.google.com/spreadsheets/d/1SX6NBoVAgQJ6U1MVXOaj8PK2l7WJ3RER9xtqwdhxkhw/edit?usp=sharing"",""ปทุมธานี!I455"")"),0)</f>
        <v>0</v>
      </c>
      <c r="J560" s="164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IFERROR(__xludf.DUMMYFUNCTION("IMPORTRANGE(""https://docs.google.com/spreadsheets/d/1SX6NBoVAgQJ6U1MVXOaj8PK2l7WJ3RER9xtqwdhxkhw/edit?usp=sharing"",""ปทุมธานี!I456"")"),0)</f>
        <v>0</v>
      </c>
      <c r="J561" s="205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IFERROR(__xludf.DUMMYFUNCTION("IMPORTRANGE(""https://docs.google.com/spreadsheets/d/1SX6NBoVAgQJ6U1MVXOaj8PK2l7WJ3RER9xtqwdhxkhw/edit?usp=sharing"",""ปทุมธานี!I457"")"),0)</f>
        <v>0</v>
      </c>
      <c r="J562" s="205" t="str">
        <f ca="1">IFERROR(__xludf.DUMMYFUNCTION("IMPORTRANGE(""https://docs.google.com/spreadsheets/d/1SX6NBoVAgQJ6U1MVXOaj8PK2l7WJ3RER9xtqwdhxkhw/edit?usp=sharing"",""ปทุมธานี!J457"")"),"")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IFERROR(__xludf.DUMMYFUNCTION("IMPORTRANGE(""https://docs.google.com/spreadsheets/d/1SX6NBoVAgQJ6U1MVXOaj8PK2l7WJ3RER9xtqwdhxkhw/edit?usp=sharing"",""ปทุมธานี!I458"")"),0)</f>
        <v>0</v>
      </c>
      <c r="J563" s="189" t="str">
        <f ca="1">IFERROR(__xludf.DUMMYFUNCTION("IMPORTRANGE(""https://docs.google.com/spreadsheets/d/1SX6NBoVAgQJ6U1MVXOaj8PK2l7WJ3RER9xtqwdhxkhw/edit?usp=sharing"",""ปทุมธานี!J458"")"),"")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IFERROR(__xludf.DUMMYFUNCTION("IMPORTRANGE(""https://docs.google.com/spreadsheets/d/1SX6NBoVAgQJ6U1MVXOaj8PK2l7WJ3RER9xtqwdhxkhw/edit?usp=sharing"",""ปทุมธานี!J459"")"),318)</f>
        <v>318</v>
      </c>
      <c r="K564" s="372">
        <f t="shared" ca="1" si="121"/>
        <v>159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IFERROR(__xludf.DUMMYFUNCTION("IMPORTRANGE(""https://docs.google.com/spreadsheets/d/1SX6NBoVAgQJ6U1MVXOaj8PK2l7WJ3RER9xtqwdhxkhw/edit?usp=sharing"",""ปทุมธานี!M459"")"),43860)</f>
        <v>43860</v>
      </c>
      <c r="O564" s="373">
        <f t="shared" ref="O564:O568" ca="1" si="122">+IF(L564&gt;0,N564*100/L564,0)</f>
        <v>34.787436548223347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IFERROR(__xludf.DUMMYFUNCTION("IMPORTRANGE(""https://docs.google.com/spreadsheets/d/1SX6NBoVAgQJ6U1MVXOaj8PK2l7WJ3RER9xtqwdhxkhw/edit?usp=sharing"",""ปทุมธานี!L460"")"),0)</f>
        <v>0</v>
      </c>
      <c r="M565" s="166"/>
      <c r="N565" s="170">
        <f ca="1">IFERROR(__xludf.DUMMYFUNCTION("IMPORTRANGE(""https://docs.google.com/spreadsheets/d/1SX6NBoVAgQJ6U1MVXOaj8PK2l7WJ3RER9xtqwdhxkhw/edit?usp=sharing"",""ปทุมธานี!M460"")"),0)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IFERROR(__xludf.DUMMYFUNCTION("IMPORTRANGE(""https://docs.google.com/spreadsheets/d/1SX6NBoVAgQJ6U1MVXOaj8PK2l7WJ3RER9xtqwdhxkhw/edit?usp=sharing"",""ปทุมธานี!L461"")"),126080)</f>
        <v>126080</v>
      </c>
      <c r="M566" s="167"/>
      <c r="N566" s="170">
        <f ca="1">IFERROR(__xludf.DUMMYFUNCTION("IMPORTRANGE(""https://docs.google.com/spreadsheets/d/1SX6NBoVAgQJ6U1MVXOaj8PK2l7WJ3RER9xtqwdhxkhw/edit?usp=sharing"",""ปทุมธานี!M461"")"),43860)</f>
        <v>43860</v>
      </c>
      <c r="O566" s="170">
        <f t="shared" ca="1" si="122"/>
        <v>34.787436548223347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IFERROR(__xludf.DUMMYFUNCTION("IMPORTRANGE(""https://docs.google.com/spreadsheets/d/1SX6NBoVAgQJ6U1MVXOaj8PK2l7WJ3RER9xtqwdhxkhw/edit?usp=sharing"",""ปทุมธานี!L462"")"),0)</f>
        <v>0</v>
      </c>
      <c r="M567" s="170"/>
      <c r="N567" s="170">
        <f ca="1">IFERROR(__xludf.DUMMYFUNCTION("IMPORTRANGE(""https://docs.google.com/spreadsheets/d/1SX6NBoVAgQJ6U1MVXOaj8PK2l7WJ3RER9xtqwdhxkhw/edit?usp=sharing"",""ปทุมธานี!M462"")"),0)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IFERROR(__xludf.DUMMYFUNCTION("IMPORTRANGE(""https://docs.google.com/spreadsheets/d/1SX6NBoVAgQJ6U1MVXOaj8PK2l7WJ3RER9xtqwdhxkhw/edit?usp=sharing"",""ปทุมธานี!L463"")"),126080)</f>
        <v>126080</v>
      </c>
      <c r="M568" s="170"/>
      <c r="N568" s="170">
        <f ca="1">IFERROR(__xludf.DUMMYFUNCTION("IMPORTRANGE(""https://docs.google.com/spreadsheets/d/1SX6NBoVAgQJ6U1MVXOaj8PK2l7WJ3RER9xtqwdhxkhw/edit?usp=sharing"",""ปทุมธานี!M463"")"),43860)</f>
        <v>43860</v>
      </c>
      <c r="O568" s="170">
        <f t="shared" ca="1" si="122"/>
        <v>34.787436548223347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IFERROR(__xludf.DUMMYFUNCTION("IMPORTRANGE(""https://docs.google.com/spreadsheets/d/1SX6NBoVAgQJ6U1MVXOaj8PK2l7WJ3RER9xtqwdhxkhw/edit?usp=sharing"",""ปทุมธานี!M464"")"),0)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IFERROR(__xludf.DUMMYFUNCTION("IMPORTRANGE(""https://docs.google.com/spreadsheets/d/1SX6NBoVAgQJ6U1MVXOaj8PK2l7WJ3RER9xtqwdhxkhw/edit?usp=sharing"",""ปทุมธานี!M465"")"),0)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IFERROR(__xludf.DUMMYFUNCTION("IMPORTRANGE(""https://docs.google.com/spreadsheets/d/1SX6NBoVAgQJ6U1MVXOaj8PK2l7WJ3RER9xtqwdhxkhw/edit?usp=sharing"",""ปทุมธานี!M466"")"),33000)</f>
        <v>33000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IFERROR(__xludf.DUMMYFUNCTION("IMPORTRANGE(""https://docs.google.com/spreadsheets/d/1SX6NBoVAgQJ6U1MVXOaj8PK2l7WJ3RER9xtqwdhxkhw/edit?usp=sharing"",""ปทุมธานี!M467"")"),10860)</f>
        <v>10860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IFERROR(__xludf.DUMMYFUNCTION("IMPORTRANGE(""https://docs.google.com/spreadsheets/d/1SX6NBoVAgQJ6U1MVXOaj8PK2l7WJ3RER9xtqwdhxkhw/edit?usp=sharing"",""ปทุมธานี!J468"")"),318)</f>
        <v>318</v>
      </c>
      <c r="K573" s="203">
        <f ca="1">IF(I573&gt;0,J573*100/I573,0)</f>
        <v>159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IFERROR(__xludf.DUMMYFUNCTION("IMPORTRANGE(""https://docs.google.com/spreadsheets/d/1SX6NBoVAgQJ6U1MVXOaj8PK2l7WJ3RER9xtqwdhxkhw/edit?usp=sharing"",""ปทุมธานี!I470"")"),0)</f>
        <v>0</v>
      </c>
      <c r="J575" s="199">
        <f ca="1">IFERROR(__xludf.DUMMYFUNCTION("IMPORTRANGE(""https://docs.google.com/spreadsheets/d/1SX6NBoVAgQJ6U1MVXOaj8PK2l7WJ3RER9xtqwdhxkhw/edit?usp=sharing"",""ปทุมธานี!J470"")"),0)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IFERROR(__xludf.DUMMYFUNCTION("IMPORTRANGE(""https://docs.google.com/spreadsheets/d/1SX6NBoVAgQJ6U1MVXOaj8PK2l7WJ3RER9xtqwdhxkhw/edit?usp=sharing"",""ปทุมธานี!I471"")"),0)</f>
        <v>0</v>
      </c>
      <c r="J576" s="199">
        <f ca="1">IFERROR(__xludf.DUMMYFUNCTION("IMPORTRANGE(""https://docs.google.com/spreadsheets/d/1SX6NBoVAgQJ6U1MVXOaj8PK2l7WJ3RER9xtqwdhxkhw/edit?usp=sharing"",""ปทุมธานี!J471"")"),0)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IFERROR(__xludf.DUMMYFUNCTION("IMPORTRANGE(""https://docs.google.com/spreadsheets/d/1SX6NBoVAgQJ6U1MVXOaj8PK2l7WJ3RER9xtqwdhxkhw/edit?usp=sharing"",""ปทุมธานี!I472"")"),0)</f>
        <v>0</v>
      </c>
      <c r="J577" s="190">
        <f ca="1">IFERROR(__xludf.DUMMYFUNCTION("IMPORTRANGE(""https://docs.google.com/spreadsheets/d/1SX6NBoVAgQJ6U1MVXOaj8PK2l7WJ3RER9xtqwdhxkhw/edit?usp=sharing"",""ปทุมธานี!J472"")"),318)</f>
        <v>318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IFERROR(__xludf.DUMMYFUNCTION("IMPORTRANGE(""https://docs.google.com/spreadsheets/d/1SX6NBoVAgQJ6U1MVXOaj8PK2l7WJ3RER9xtqwdhxkhw/edit?usp=sharing"",""ปทุมธานี!I473"")"),0)</f>
        <v>0</v>
      </c>
      <c r="J578" s="199">
        <f ca="1">IFERROR(__xludf.DUMMYFUNCTION("IMPORTRANGE(""https://docs.google.com/spreadsheets/d/1SX6NBoVAgQJ6U1MVXOaj8PK2l7WJ3RER9xtqwdhxkhw/edit?usp=sharing"",""ปทุมธานี!J473"")"),0)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IFERROR(__xludf.DUMMYFUNCTION("IMPORTRANGE(""https://docs.google.com/spreadsheets/d/1SX6NBoVAgQJ6U1MVXOaj8PK2l7WJ3RER9xtqwdhxkhw/edit?usp=sharing"",""ปทุมธานี!I474"")"),0)</f>
        <v>0</v>
      </c>
      <c r="J579" s="199">
        <f ca="1">IFERROR(__xludf.DUMMYFUNCTION("IMPORTRANGE(""https://docs.google.com/spreadsheets/d/1SX6NBoVAgQJ6U1MVXOaj8PK2l7WJ3RER9xtqwdhxkhw/edit?usp=sharing"",""ปทุมธานี!J474"")"),0)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IFERROR(__xludf.DUMMYFUNCTION("IMPORTRANGE(""https://docs.google.com/spreadsheets/d/1SX6NBoVAgQJ6U1MVXOaj8PK2l7WJ3RER9xtqwdhxkhw/edit?usp=sharing"",""ปทุมธานี!L476"")"),0)</f>
        <v>0</v>
      </c>
      <c r="M581" s="166"/>
      <c r="N581" s="170">
        <f ca="1">IFERROR(__xludf.DUMMYFUNCTION("IMPORTRANGE(""https://docs.google.com/spreadsheets/d/1SX6NBoVAgQJ6U1MVXOaj8PK2l7WJ3RER9xtqwdhxkhw/edit?usp=sharing"",""ปทุมธานี!M476"")"),0)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IFERROR(__xludf.DUMMYFUNCTION("IMPORTRANGE(""https://docs.google.com/spreadsheets/d/1SX6NBoVAgQJ6U1MVXOaj8PK2l7WJ3RER9xtqwdhxkhw/edit?usp=sharing"",""ปทุมธานี!L477"")"),0)</f>
        <v>0</v>
      </c>
      <c r="M582" s="167"/>
      <c r="N582" s="170">
        <f ca="1">IFERROR(__xludf.DUMMYFUNCTION("IMPORTRANGE(""https://docs.google.com/spreadsheets/d/1SX6NBoVAgQJ6U1MVXOaj8PK2l7WJ3RER9xtqwdhxkhw/edit?usp=sharing"",""ปทุมธานี!M477"")"),0)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IFERROR(__xludf.DUMMYFUNCTION("IMPORTRANGE(""https://docs.google.com/spreadsheets/d/1SX6NBoVAgQJ6U1MVXOaj8PK2l7WJ3RER9xtqwdhxkhw/edit?usp=sharing"",""ปทุมธานี!L478"")"),0)</f>
        <v>0</v>
      </c>
      <c r="M583" s="170"/>
      <c r="N583" s="170">
        <f ca="1">IFERROR(__xludf.DUMMYFUNCTION("IMPORTRANGE(""https://docs.google.com/spreadsheets/d/1SX6NBoVAgQJ6U1MVXOaj8PK2l7WJ3RER9xtqwdhxkhw/edit?usp=sharing"",""ปทุมธานี!M478"")"),0)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IFERROR(__xludf.DUMMYFUNCTION("IMPORTRANGE(""https://docs.google.com/spreadsheets/d/1SX6NBoVAgQJ6U1MVXOaj8PK2l7WJ3RER9xtqwdhxkhw/edit?usp=sharing"",""ปทุมธานี!L479"")"),0)</f>
        <v>0</v>
      </c>
      <c r="M584" s="170"/>
      <c r="N584" s="170">
        <f ca="1">IFERROR(__xludf.DUMMYFUNCTION("IMPORTRANGE(""https://docs.google.com/spreadsheets/d/1SX6NBoVAgQJ6U1MVXOaj8PK2l7WJ3RER9xtqwdhxkhw/edit?usp=sharing"",""ปทุมธานี!M479"")"),0)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IFERROR(__xludf.DUMMYFUNCTION("IMPORTRANGE(""https://docs.google.com/spreadsheets/d/1SX6NBoVAgQJ6U1MVXOaj8PK2l7WJ3RER9xtqwdhxkhw/edit?usp=sharing"",""ปทุมธานี!M480"")"),0)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IFERROR(__xludf.DUMMYFUNCTION("IMPORTRANGE(""https://docs.google.com/spreadsheets/d/1SX6NBoVAgQJ6U1MVXOaj8PK2l7WJ3RER9xtqwdhxkhw/edit?usp=sharing"",""ปทุมธานี!M481"")"),0)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IFERROR(__xludf.DUMMYFUNCTION("IMPORTRANGE(""https://docs.google.com/spreadsheets/d/1SX6NBoVAgQJ6U1MVXOaj8PK2l7WJ3RER9xtqwdhxkhw/edit?usp=sharing"",""ปทุมธานี!M482"")"),0)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IFERROR(__xludf.DUMMYFUNCTION("IMPORTRANGE(""https://docs.google.com/spreadsheets/d/1SX6NBoVAgQJ6U1MVXOaj8PK2l7WJ3RER9xtqwdhxkhw/edit?usp=sharing"",""ปทุมธานี!M483"")"),0)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IFERROR(__xludf.DUMMYFUNCTION("IMPORTRANGE(""https://docs.google.com/spreadsheets/d/1SX6NBoVAgQJ6U1MVXOaj8PK2l7WJ3RER9xtqwdhxkhw/edit?usp=sharing"",""ปทุมธานี!I484"")"),0)</f>
        <v>0</v>
      </c>
      <c r="J589" s="189">
        <f ca="1">IFERROR(__xludf.DUMMYFUNCTION("IMPORTRANGE(""https://docs.google.com/spreadsheets/d/1SX6NBoVAgQJ6U1MVXOaj8PK2l7WJ3RER9xtqwdhxkhw/edit?usp=sharing"",""ปทุมธานี!J484"")"),0)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9">
        <f ca="1">IFERROR(__xludf.DUMMYFUNCTION("IMPORTRANGE(""https://docs.google.com/spreadsheets/d/1SX6NBoVAgQJ6U1MVXOaj8PK2l7WJ3RER9xtqwdhxkhw/edit?usp=sharing"",""ปทุมธานี!J485"")"),0)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IFERROR(__xludf.DUMMYFUNCTION("IMPORTRANGE(""https://docs.google.com/spreadsheets/d/1SX6NBoVAgQJ6U1MVXOaj8PK2l7WJ3RER9xtqwdhxkhw/edit?usp=sharing"",""ปทุมธานี!I486"")"),0)</f>
        <v>0</v>
      </c>
      <c r="J591" s="189">
        <f ca="1">IFERROR(__xludf.DUMMYFUNCTION("IMPORTRANGE(""https://docs.google.com/spreadsheets/d/1SX6NBoVAgQJ6U1MVXOaj8PK2l7WJ3RER9xtqwdhxkhw/edit?usp=sharing"",""ปทุมธานี!J486"")"),0)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9">
        <f ca="1">IFERROR(__xludf.DUMMYFUNCTION("IMPORTRANGE(""https://docs.google.com/spreadsheets/d/1SX6NBoVAgQJ6U1MVXOaj8PK2l7WJ3RER9xtqwdhxkhw/edit?usp=sharing"",""ปทุมธานี!J487"")"),0)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IFERROR(__xludf.DUMMYFUNCTION("IMPORTRANGE(""https://docs.google.com/spreadsheets/d/1SX6NBoVAgQJ6U1MVXOaj8PK2l7WJ3RER9xtqwdhxkhw/edit?usp=sharing"",""ปทุมธานี!I488"")"),0)</f>
        <v>0</v>
      </c>
      <c r="J593" s="189">
        <f ca="1">IFERROR(__xludf.DUMMYFUNCTION("IMPORTRANGE(""https://docs.google.com/spreadsheets/d/1SX6NBoVAgQJ6U1MVXOaj8PK2l7WJ3RER9xtqwdhxkhw/edit?usp=sharing"",""ปทุมธานี!J488"")"),0)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9">
        <f ca="1">IFERROR(__xludf.DUMMYFUNCTION("IMPORTRANGE(""https://docs.google.com/spreadsheets/d/1SX6NBoVAgQJ6U1MVXOaj8PK2l7WJ3RER9xtqwdhxkhw/edit?usp=sharing"",""ปทุมธานี!J489"")"),0)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IFERROR(__xludf.DUMMYFUNCTION("IMPORTRANGE(""https://docs.google.com/spreadsheets/d/1SX6NBoVAgQJ6U1MVXOaj8PK2l7WJ3RER9xtqwdhxkhw/edit?usp=sharing"",""ปทุมธานี!I490"")"),0)</f>
        <v>0</v>
      </c>
      <c r="J595" s="189">
        <f ca="1">IFERROR(__xludf.DUMMYFUNCTION("IMPORTRANGE(""https://docs.google.com/spreadsheets/d/1SX6NBoVAgQJ6U1MVXOaj8PK2l7WJ3RER9xtqwdhxkhw/edit?usp=sharing"",""ปทุมธานี!J490"")"),0)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7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IFERROR(__xludf.DUMMYFUNCTION("IMPORTRANGE(""https://docs.google.com/spreadsheets/d/1SX6NBoVAgQJ6U1MVXOaj8PK2l7WJ3RER9xtqwdhxkhw/edit?usp=sharing"",""ปทุมธานี!M492"")"),860)</f>
        <v>860</v>
      </c>
      <c r="O597" s="412">
        <f t="shared" ref="O597:O601" ca="1" si="126">+IF(L597&gt;0,N597*100/L597,0)</f>
        <v>11.780821917808218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IFERROR(__xludf.DUMMYFUNCTION("IMPORTRANGE(""https://docs.google.com/spreadsheets/d/1SX6NBoVAgQJ6U1MVXOaj8PK2l7WJ3RER9xtqwdhxkhw/edit?usp=sharing"",""ปทุมธานี!L493"")"),0)</f>
        <v>0</v>
      </c>
      <c r="M598" s="166"/>
      <c r="N598" s="170">
        <f ca="1">IFERROR(__xludf.DUMMYFUNCTION("IMPORTRANGE(""https://docs.google.com/spreadsheets/d/1SX6NBoVAgQJ6U1MVXOaj8PK2l7WJ3RER9xtqwdhxkhw/edit?usp=sharing"",""ปทุมธานี!M493"")"),0)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IFERROR(__xludf.DUMMYFUNCTION("IMPORTRANGE(""https://docs.google.com/spreadsheets/d/1SX6NBoVAgQJ6U1MVXOaj8PK2l7WJ3RER9xtqwdhxkhw/edit?usp=sharing"",""ปทุมธานี!L494"")"),7300)</f>
        <v>7300</v>
      </c>
      <c r="M599" s="167"/>
      <c r="N599" s="170">
        <f ca="1">IFERROR(__xludf.DUMMYFUNCTION("IMPORTRANGE(""https://docs.google.com/spreadsheets/d/1SX6NBoVAgQJ6U1MVXOaj8PK2l7WJ3RER9xtqwdhxkhw/edit?usp=sharing"",""ปทุมธานี!M494"")"),860)</f>
        <v>860</v>
      </c>
      <c r="O599" s="170">
        <f t="shared" ca="1" si="126"/>
        <v>11.780821917808218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IFERROR(__xludf.DUMMYFUNCTION("IMPORTRANGE(""https://docs.google.com/spreadsheets/d/1SX6NBoVAgQJ6U1MVXOaj8PK2l7WJ3RER9xtqwdhxkhw/edit?usp=sharing"",""ปทุมธานี!L495"")"),0)</f>
        <v>0</v>
      </c>
      <c r="M600" s="170"/>
      <c r="N600" s="170">
        <f ca="1">IFERROR(__xludf.DUMMYFUNCTION("IMPORTRANGE(""https://docs.google.com/spreadsheets/d/1SX6NBoVAgQJ6U1MVXOaj8PK2l7WJ3RER9xtqwdhxkhw/edit?usp=sharing"",""ปทุมธานี!M495"")"),0)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IFERROR(__xludf.DUMMYFUNCTION("IMPORTRANGE(""https://docs.google.com/spreadsheets/d/1SX6NBoVAgQJ6U1MVXOaj8PK2l7WJ3RER9xtqwdhxkhw/edit?usp=sharing"",""ปทุมธานี!L496"")"),7300)</f>
        <v>7300</v>
      </c>
      <c r="M601" s="170"/>
      <c r="N601" s="170">
        <f ca="1">IFERROR(__xludf.DUMMYFUNCTION("IMPORTRANGE(""https://docs.google.com/spreadsheets/d/1SX6NBoVAgQJ6U1MVXOaj8PK2l7WJ3RER9xtqwdhxkhw/edit?usp=sharing"",""ปทุมธานี!M496"")"),860)</f>
        <v>860</v>
      </c>
      <c r="O601" s="170">
        <f t="shared" ca="1" si="126"/>
        <v>11.780821917808218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IFERROR(__xludf.DUMMYFUNCTION("IMPORTRANGE(""https://docs.google.com/spreadsheets/d/1SX6NBoVAgQJ6U1MVXOaj8PK2l7WJ3RER9xtqwdhxkhw/edit?usp=sharing"",""ปทุมธานี!M497"")"),0)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IFERROR(__xludf.DUMMYFUNCTION("IMPORTRANGE(""https://docs.google.com/spreadsheets/d/1SX6NBoVAgQJ6U1MVXOaj8PK2l7WJ3RER9xtqwdhxkhw/edit?usp=sharing"",""ปทุมธานี!M498"")"),0)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IFERROR(__xludf.DUMMYFUNCTION("IMPORTRANGE(""https://docs.google.com/spreadsheets/d/1SX6NBoVAgQJ6U1MVXOaj8PK2l7WJ3RER9xtqwdhxkhw/edit?usp=sharing"",""ปทุมธานี!M500"")"),860)</f>
        <v>860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IFERROR(__xludf.DUMMYFUNCTION("IMPORTRANGE(""https://docs.google.com/spreadsheets/d/1SX6NBoVAgQJ6U1MVXOaj8PK2l7WJ3RER9xtqwdhxkhw/edit?usp=sharing"",""ปทุมธานี!J502"")"),0)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IFERROR(__xludf.DUMMYFUNCTION("IMPORTRANGE(""https://docs.google.com/spreadsheets/d/1SX6NBoVAgQJ6U1MVXOaj8PK2l7WJ3RER9xtqwdhxkhw/edit?usp=sharing"",""ปทุมธานี!J503"")"),1)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IFERROR(__xludf.DUMMYFUNCTION("IMPORTRANGE(""https://docs.google.com/spreadsheets/d/1SX6NBoVAgQJ6U1MVXOaj8PK2l7WJ3RER9xtqwdhxkhw/edit?usp=sharing"",""ปทุมธานี!I506"")"),100)</f>
        <v>100</v>
      </c>
      <c r="J611" s="164">
        <f ca="1">IFERROR(__xludf.DUMMYFUNCTION("IMPORTRANGE(""https://docs.google.com/spreadsheets/d/1SX6NBoVAgQJ6U1MVXOaj8PK2l7WJ3RER9xtqwdhxkhw/edit?usp=sharing"",""ปทุมธานี!J506"")"),0)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IFERROR(__xludf.DUMMYFUNCTION("IMPORTRANGE(""https://docs.google.com/spreadsheets/d/1SX6NBoVAgQJ6U1MVXOaj8PK2l7WJ3RER9xtqwdhxkhw/edit?usp=sharing"",""ปทุมธานี!I507"")"),0)</f>
        <v>0</v>
      </c>
      <c r="J612" s="199">
        <f ca="1">IFERROR(__xludf.DUMMYFUNCTION("IMPORTRANGE(""https://docs.google.com/spreadsheets/d/1SX6NBoVAgQJ6U1MVXOaj8PK2l7WJ3RER9xtqwdhxkhw/edit?usp=sharing"",""ปทุมธานี!J507"")"),84)</f>
        <v>84</v>
      </c>
      <c r="K612" s="165">
        <f t="shared" ca="1" si="127"/>
        <v>84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IFERROR(__xludf.DUMMYFUNCTION("IMPORTRANGE(""https://docs.google.com/spreadsheets/d/1SX6NBoVAgQJ6U1MVXOaj8PK2l7WJ3RER9xtqwdhxkhw/edit?usp=sharing"",""ปทุมธานี!I508"")"),0)</f>
        <v>0</v>
      </c>
      <c r="J613" s="199">
        <f ca="1">IFERROR(__xludf.DUMMYFUNCTION("IMPORTRANGE(""https://docs.google.com/spreadsheets/d/1SX6NBoVAgQJ6U1MVXOaj8PK2l7WJ3RER9xtqwdhxkhw/edit?usp=sharing"",""ปทุมธานี!J508"")"),84)</f>
        <v>84</v>
      </c>
      <c r="K613" s="165">
        <f t="shared" ca="1" si="127"/>
        <v>84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IFERROR(__xludf.DUMMYFUNCTION("IMPORTRANGE(""https://docs.google.com/spreadsheets/d/1SX6NBoVAgQJ6U1MVXOaj8PK2l7WJ3RER9xtqwdhxkhw/edit?usp=sharing"",""ปทุมธานี!I509"")"),0)</f>
        <v>0</v>
      </c>
      <c r="J614" s="199">
        <f ca="1">IFERROR(__xludf.DUMMYFUNCTION("IMPORTRANGE(""https://docs.google.com/spreadsheets/d/1SX6NBoVAgQJ6U1MVXOaj8PK2l7WJ3RER9xtqwdhxkhw/edit?usp=sharing"",""ปทุมธานี!J509"")"),0)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IFERROR(__xludf.DUMMYFUNCTION("IMPORTRANGE(""https://docs.google.com/spreadsheets/d/1SX6NBoVAgQJ6U1MVXOaj8PK2l7WJ3RER9xtqwdhxkhw/edit?usp=sharing"",""ปทุมธานี!I510"")"),0)</f>
        <v>0</v>
      </c>
      <c r="J615" s="199">
        <f ca="1">IFERROR(__xludf.DUMMYFUNCTION("IMPORTRANGE(""https://docs.google.com/spreadsheets/d/1SX6NBoVAgQJ6U1MVXOaj8PK2l7WJ3RER9xtqwdhxkhw/edit?usp=sharing"",""ปทุมธานี!J510"")"),0)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IFERROR(__xludf.DUMMYFUNCTION("IMPORTRANGE(""https://docs.google.com/spreadsheets/d/1SX6NBoVAgQJ6U1MVXOaj8PK2l7WJ3RER9xtqwdhxkhw/edit?usp=sharing"",""ปทุมธานี!I511"")"),0)</f>
        <v>0</v>
      </c>
      <c r="J616" s="199">
        <f ca="1">IFERROR(__xludf.DUMMYFUNCTION("IMPORTRANGE(""https://docs.google.com/spreadsheets/d/1SX6NBoVAgQJ6U1MVXOaj8PK2l7WJ3RER9xtqwdhxkhw/edit?usp=sharing"",""ปทุมธานี!J511"")"),0)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IFERROR(__xludf.DUMMYFUNCTION("IMPORTRANGE(""https://docs.google.com/spreadsheets/d/1SX6NBoVAgQJ6U1MVXOaj8PK2l7WJ3RER9xtqwdhxkhw/edit?usp=sharing"",""ปทุมธานี!I512"")"),0)</f>
        <v>0</v>
      </c>
      <c r="J617" s="189">
        <f ca="1">IFERROR(__xludf.DUMMYFUNCTION("IMPORTRANGE(""https://docs.google.com/spreadsheets/d/1SX6NBoVAgQJ6U1MVXOaj8PK2l7WJ3RER9xtqwdhxkhw/edit?usp=sharing"",""ปทุมธานี!J512"")"),0)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IFERROR(__xludf.DUMMYFUNCTION("IMPORTRANGE(""https://docs.google.com/spreadsheets/d/1SX6NBoVAgQJ6U1MVXOaj8PK2l7WJ3RER9xtqwdhxkhw/edit?usp=sharing"",""ปทุมธานี!I513"")"),0)</f>
        <v>0</v>
      </c>
      <c r="J618" s="190">
        <f ca="1">IFERROR(__xludf.DUMMYFUNCTION("IMPORTRANGE(""https://docs.google.com/spreadsheets/d/1SX6NBoVAgQJ6U1MVXOaj8PK2l7WJ3RER9xtqwdhxkhw/edit?usp=sharing"",""ปทุมธานี!J513"")"),0)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IFERROR(__xludf.DUMMYFUNCTION("IMPORTRANGE(""https://docs.google.com/spreadsheets/d/1SX6NBoVAgQJ6U1MVXOaj8PK2l7WJ3RER9xtqwdhxkhw/edit?usp=sharing"",""ปทุมธานี!I514"")"),0)</f>
        <v>0</v>
      </c>
      <c r="J619" s="190">
        <f ca="1">IFERROR(__xludf.DUMMYFUNCTION("IMPORTRANGE(""https://docs.google.com/spreadsheets/d/1SX6NBoVAgQJ6U1MVXOaj8PK2l7WJ3RER9xtqwdhxkhw/edit?usp=sharing"",""ปทุมธานี!J514"")"),0)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IFERROR(__xludf.DUMMYFUNCTION("IMPORTRANGE(""https://docs.google.com/spreadsheets/d/1SX6NBoVAgQJ6U1MVXOaj8PK2l7WJ3RER9xtqwdhxkhw/edit?usp=sharing"",""ปทุมธานี!I515"")"),0)</f>
        <v>0</v>
      </c>
      <c r="J620" s="204">
        <f ca="1">IFERROR(__xludf.DUMMYFUNCTION("IMPORTRANGE(""https://docs.google.com/spreadsheets/d/1SX6NBoVAgQJ6U1MVXOaj8PK2l7WJ3RER9xtqwdhxkhw/edit?usp=sharing"",""ปทุมธานี!J515"")"),0)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IFERROR(__xludf.DUMMYFUNCTION("IMPORTRANGE(""https://docs.google.com/spreadsheets/d/1SX6NBoVAgQJ6U1MVXOaj8PK2l7WJ3RER9xtqwdhxkhw/edit?usp=sharing"",""ปทุมธานี!I516"")"),0)</f>
        <v>0</v>
      </c>
      <c r="J621" s="204">
        <f ca="1">IFERROR(__xludf.DUMMYFUNCTION("IMPORTRANGE(""https://docs.google.com/spreadsheets/d/1SX6NBoVAgQJ6U1MVXOaj8PK2l7WJ3RER9xtqwdhxkhw/edit?usp=sharing"",""ปทุมธานี!J516"")"),0)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IFERROR(__xludf.DUMMYFUNCTION("IMPORTRANGE(""https://docs.google.com/spreadsheets/d/1SX6NBoVAgQJ6U1MVXOaj8PK2l7WJ3RER9xtqwdhxkhw/edit?usp=sharing"",""ปทุมธานี!I517"")"),0)</f>
        <v>0</v>
      </c>
      <c r="J622" s="190">
        <f ca="1">IFERROR(__xludf.DUMMYFUNCTION("IMPORTRANGE(""https://docs.google.com/spreadsheets/d/1SX6NBoVAgQJ6U1MVXOaj8PK2l7WJ3RER9xtqwdhxkhw/edit?usp=sharing"",""ปทุมธานี!J517"")"),0)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IFERROR(__xludf.DUMMYFUNCTION("IMPORTRANGE(""https://docs.google.com/spreadsheets/d/1SX6NBoVAgQJ6U1MVXOaj8PK2l7WJ3RER9xtqwdhxkhw/edit?usp=sharing"",""ปทุมธานี!I518"")"),0)</f>
        <v>0</v>
      </c>
      <c r="J623" s="190">
        <f ca="1">IFERROR(__xludf.DUMMYFUNCTION("IMPORTRANGE(""https://docs.google.com/spreadsheets/d/1SX6NBoVAgQJ6U1MVXOaj8PK2l7WJ3RER9xtqwdhxkhw/edit?usp=sharing"",""ปทุมธานี!J518"")"),0)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IFERROR(__xludf.DUMMYFUNCTION("IMPORTRANGE(""https://docs.google.com/spreadsheets/d/1SX6NBoVAgQJ6U1MVXOaj8PK2l7WJ3RER9xtqwdhxkhw/edit?usp=sharing"",""ปทุมธานี!I519"")"),0)</f>
        <v>0</v>
      </c>
      <c r="J624" s="189">
        <f ca="1">IFERROR(__xludf.DUMMYFUNCTION("IMPORTRANGE(""https://docs.google.com/spreadsheets/d/1SX6NBoVAgQJ6U1MVXOaj8PK2l7WJ3RER9xtqwdhxkhw/edit?usp=sharing"",""ปทุมธานี!J519"")"),0)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IFERROR(__xludf.DUMMYFUNCTION("IMPORTRANGE(""https://docs.google.com/spreadsheets/d/1SX6NBoVAgQJ6U1MVXOaj8PK2l7WJ3RER9xtqwdhxkhw/edit?usp=sharing"",""ปทุมธานี!I520"")"),0)</f>
        <v>0</v>
      </c>
      <c r="J625" s="190">
        <f ca="1">IFERROR(__xludf.DUMMYFUNCTION("IMPORTRANGE(""https://docs.google.com/spreadsheets/d/1SX6NBoVAgQJ6U1MVXOaj8PK2l7WJ3RER9xtqwdhxkhw/edit?usp=sharing"",""ปทุมธานี!J520"")"),0)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IFERROR(__xludf.DUMMYFUNCTION("IMPORTRANGE(""https://docs.google.com/spreadsheets/d/1SX6NBoVAgQJ6U1MVXOaj8PK2l7WJ3RER9xtqwdhxkhw/edit?usp=sharing"",""ปทุมธานี!I521"")"),0)</f>
        <v>0</v>
      </c>
      <c r="J626" s="190">
        <f ca="1">IFERROR(__xludf.DUMMYFUNCTION("IMPORTRANGE(""https://docs.google.com/spreadsheets/d/1SX6NBoVAgQJ6U1MVXOaj8PK2l7WJ3RER9xtqwdhxkhw/edit?usp=sharing"",""ปทุมธานี!J521"")"),0)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IFERROR(__xludf.DUMMYFUNCTION("IMPORTRANGE(""https://docs.google.com/spreadsheets/d/1SX6NBoVAgQJ6U1MVXOaj8PK2l7WJ3RER9xtqwdhxkhw/edit?usp=sharing"",""ปทุมธานี!I523"")"),1040000)</f>
        <v>1040000</v>
      </c>
      <c r="J628" s="341">
        <f ca="1">IFERROR(__xludf.DUMMYFUNCTION("IMPORTRANGE(""https://docs.google.com/spreadsheets/d/1SX6NBoVAgQJ6U1MVXOaj8PK2l7WJ3RER9xtqwdhxkhw/edit?usp=sharing"",""ปทุมธานี!J523"")"),120000)</f>
        <v>120000</v>
      </c>
      <c r="K628" s="342">
        <f t="shared" ref="K628:K635" ca="1" si="129">IF(I628&gt;0,J628*100/I628,0)</f>
        <v>11.538461538461538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IFERROR(__xludf.DUMMYFUNCTION("IMPORTRANGE(""https://docs.google.com/spreadsheets/d/1SX6NBoVAgQJ6U1MVXOaj8PK2l7WJ3RER9xtqwdhxkhw/edit?usp=sharing"",""ปทุมธานี!I524"")"),36)</f>
        <v>36</v>
      </c>
      <c r="J629" s="341">
        <f ca="1">IFERROR(__xludf.DUMMYFUNCTION("IMPORTRANGE(""https://docs.google.com/spreadsheets/d/1SX6NBoVAgQJ6U1MVXOaj8PK2l7WJ3RER9xtqwdhxkhw/edit?usp=sharing"",""ปทุมธานี!J524"")"),4)</f>
        <v>4</v>
      </c>
      <c r="K629" s="342">
        <f t="shared" ca="1" si="129"/>
        <v>11.111111111111111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1">
        <f ca="1">IFERROR(__xludf.DUMMYFUNCTION("IMPORTRANGE(""https://docs.google.com/spreadsheets/d/1SX6NBoVAgQJ6U1MVXOaj8PK2l7WJ3RER9xtqwdhxkhw/edit?usp=sharing"",""ปทุมธานี!J525"")"),4999.64)</f>
        <v>4999.6400000000003</v>
      </c>
      <c r="K630" s="342">
        <f t="shared" ca="1" si="129"/>
        <v>3.6362924921372244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IFERROR(__xludf.DUMMYFUNCTION("IMPORTRANGE(""https://docs.google.com/spreadsheets/d/1SX6NBoVAgQJ6U1MVXOaj8PK2l7WJ3RER9xtqwdhxkhw/edit?usp=sharing"",""ปทุมธานี!I526"")"),4)</f>
        <v>4</v>
      </c>
      <c r="J631" s="341">
        <f ca="1">IFERROR(__xludf.DUMMYFUNCTION("IMPORTRANGE(""https://docs.google.com/spreadsheets/d/1SX6NBoVAgQJ6U1MVXOaj8PK2l7WJ3RER9xtqwdhxkhw/edit?usp=sharing"",""ปทุมธานี!J526"")"),1)</f>
        <v>1</v>
      </c>
      <c r="K631" s="342">
        <f t="shared" ca="1" si="129"/>
        <v>25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1">
        <f ca="1">IFERROR(__xludf.DUMMYFUNCTION("IMPORTRANGE(""https://docs.google.com/spreadsheets/d/1SX6NBoVAgQJ6U1MVXOaj8PK2l7WJ3RER9xtqwdhxkhw/edit?usp=sharing"",""ปทุมธานี!J527"")"),1479797.33)</f>
        <v>1479797.33</v>
      </c>
      <c r="K632" s="342">
        <f t="shared" ca="1" si="129"/>
        <v>36.820588408247247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IFERROR(__xludf.DUMMYFUNCTION("IMPORTRANGE(""https://docs.google.com/spreadsheets/d/1SX6NBoVAgQJ6U1MVXOaj8PK2l7WJ3RER9xtqwdhxkhw/edit?usp=sharing"",""ปทุมธานี!I528"")"),2074)</f>
        <v>2074</v>
      </c>
      <c r="J633" s="341">
        <f ca="1">IFERROR(__xludf.DUMMYFUNCTION("IMPORTRANGE(""https://docs.google.com/spreadsheets/d/1SX6NBoVAgQJ6U1MVXOaj8PK2l7WJ3RER9xtqwdhxkhw/edit?usp=sharing"",""ปทุมธานี!J528"")"),1380)</f>
        <v>1380</v>
      </c>
      <c r="K633" s="342">
        <f t="shared" ca="1" si="129"/>
        <v>66.538090646094503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IFERROR(__xludf.DUMMYFUNCTION("IMPORTRANGE(""https://docs.google.com/spreadsheets/d/1SX6NBoVAgQJ6U1MVXOaj8PK2l7WJ3RER9xtqwdhxkhw/edit?usp=sharing"",""ปทุมธานี!I529"")"),960000)</f>
        <v>960000</v>
      </c>
      <c r="J634" s="341">
        <f ca="1">IFERROR(__xludf.DUMMYFUNCTION("IMPORTRANGE(""https://docs.google.com/spreadsheets/d/1SX6NBoVAgQJ6U1MVXOaj8PK2l7WJ3RER9xtqwdhxkhw/edit?usp=sharing"",""ปทุมธานี!J529"")"),0)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IFERROR(__xludf.DUMMYFUNCTION("IMPORTRANGE(""https://docs.google.com/spreadsheets/d/1SX6NBoVAgQJ6U1MVXOaj8PK2l7WJ3RER9xtqwdhxkhw/edit?usp=sharing"",""ปทุมธานี!I530"")"),33)</f>
        <v>33</v>
      </c>
      <c r="J635" s="504">
        <f ca="1">IFERROR(__xludf.DUMMYFUNCTION("IMPORTRANGE(""https://docs.google.com/spreadsheets/d/1SX6NBoVAgQJ6U1MVXOaj8PK2l7WJ3RER9xtqwdhxkhw/edit?usp=sharing"",""ปทุมธานี!J530"")"),0)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256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2820649</v>
      </c>
      <c r="M8" s="23">
        <f t="shared" ca="1" si="0"/>
        <v>1059410</v>
      </c>
      <c r="N8" s="23">
        <f t="shared" ca="1" si="0"/>
        <v>1588641.8900000001</v>
      </c>
      <c r="O8" s="22">
        <f t="shared" ref="O8:O16" ca="1" si="1">IF(L8&gt;0,N8*100/L8,0)</f>
        <v>56.321856778351368</v>
      </c>
      <c r="P8" s="22">
        <f t="shared" ref="P8:P16" ca="1" si="2">IF(M8&gt;0,N8*100/M8,0)</f>
        <v>149.95534212439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2820649</v>
      </c>
      <c r="M10" s="30">
        <f t="shared" ca="1" si="4"/>
        <v>1059410</v>
      </c>
      <c r="N10" s="30">
        <f t="shared" ca="1" si="4"/>
        <v>1588641.8900000001</v>
      </c>
      <c r="O10" s="29">
        <f t="shared" ca="1" si="1"/>
        <v>56.321856778351368</v>
      </c>
      <c r="P10" s="29">
        <f t="shared" ca="1" si="2"/>
        <v>149.95534212439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2673649</v>
      </c>
      <c r="M12" s="38">
        <f t="shared" ca="1" si="6"/>
        <v>912410</v>
      </c>
      <c r="N12" s="38">
        <f t="shared" ca="1" si="6"/>
        <v>1441641.8900000001</v>
      </c>
      <c r="O12" s="38">
        <f t="shared" ca="1" si="1"/>
        <v>53.920387081475539</v>
      </c>
      <c r="P12" s="38">
        <f t="shared" ca="1" si="2"/>
        <v>158.00373625891868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1294149</v>
      </c>
      <c r="M14" s="38">
        <f t="shared" si="8"/>
        <v>0</v>
      </c>
      <c r="N14" s="38">
        <f t="shared" ca="1" si="8"/>
        <v>677996.89</v>
      </c>
      <c r="O14" s="38">
        <f t="shared" ca="1" si="1"/>
        <v>52.389399520457076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1059410</v>
      </c>
      <c r="N18" s="23">
        <f t="shared" ca="1" si="11"/>
        <v>910645</v>
      </c>
      <c r="O18" s="22">
        <f t="shared" ref="O18:O20" ca="1" si="12">IF(L18&gt;0,N18*100/L18,0)</f>
        <v>48.66974511910297</v>
      </c>
      <c r="P18" s="22">
        <f t="shared" ref="P18:P26" ca="1" si="13">IF(M18&gt;0,N18*100/M18,0)</f>
        <v>85.957750068434322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1059410</v>
      </c>
      <c r="N20" s="30">
        <f t="shared" ca="1" si="15"/>
        <v>910645</v>
      </c>
      <c r="O20" s="29">
        <f t="shared" ca="1" si="12"/>
        <v>48.66974511910297</v>
      </c>
      <c r="P20" s="29">
        <f t="shared" ca="1" si="13"/>
        <v>85.957750068434322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912410</v>
      </c>
      <c r="N22" s="38">
        <f t="shared" ca="1" si="18"/>
        <v>763645</v>
      </c>
      <c r="O22" s="38">
        <f t="shared" ca="1" si="17"/>
        <v>44.29315515031292</v>
      </c>
      <c r="P22" s="38">
        <f t="shared" ca="1" si="13"/>
        <v>83.695378174285679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949579</v>
      </c>
      <c r="M28" s="23">
        <f t="shared" si="23"/>
        <v>0</v>
      </c>
      <c r="N28" s="23">
        <f t="shared" ca="1" si="23"/>
        <v>677996.89</v>
      </c>
      <c r="O28" s="22">
        <f t="shared" ref="O28:O30" ca="1" si="24">IF(L28&gt;0,N28*100/L28,0)</f>
        <v>71.399735040475832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949579</v>
      </c>
      <c r="M30" s="30">
        <f t="shared" si="27"/>
        <v>0</v>
      </c>
      <c r="N30" s="30">
        <f t="shared" ca="1" si="27"/>
        <v>677996.89</v>
      </c>
      <c r="O30" s="29">
        <f t="shared" ca="1" si="24"/>
        <v>71.399735040475832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949579</v>
      </c>
      <c r="M32" s="38">
        <f t="shared" si="30"/>
        <v>0</v>
      </c>
      <c r="N32" s="38">
        <f t="shared" ca="1" si="30"/>
        <v>677996.89</v>
      </c>
      <c r="O32" s="38">
        <f t="shared" ca="1" si="29"/>
        <v>71.399735040475832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949579</v>
      </c>
      <c r="M34" s="38">
        <f t="shared" si="32"/>
        <v>0</v>
      </c>
      <c r="N34" s="38">
        <f t="shared" ca="1" si="32"/>
        <v>677996.89</v>
      </c>
      <c r="O34" s="38">
        <f t="shared" ca="1" si="29"/>
        <v>71.399735040475832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1059410</v>
      </c>
      <c r="N37" s="54">
        <f t="shared" ca="1" si="33"/>
        <v>910645</v>
      </c>
      <c r="O37" s="55">
        <f t="shared" ca="1" si="29"/>
        <v>48.66974511910297</v>
      </c>
      <c r="P37" s="55">
        <f t="shared" ca="1" si="25"/>
        <v>85.957750068434322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287300</v>
      </c>
      <c r="N41" s="78">
        <f t="shared" ca="1" si="34"/>
        <v>287067</v>
      </c>
      <c r="O41" s="77">
        <f t="shared" ref="O41:O43" ca="1" si="35">IF(L41&gt;0,N41*100/L41,0)</f>
        <v>49.976845403899723</v>
      </c>
      <c r="P41" s="77">
        <f t="shared" ref="P41:P43" ca="1" si="36">IF(M41&gt;0,N41*100/M41,0)</f>
        <v>99.918900104420473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287300</v>
      </c>
      <c r="N43" s="78">
        <f t="shared" ca="1" si="38"/>
        <v>287067</v>
      </c>
      <c r="O43" s="77">
        <f t="shared" ca="1" si="35"/>
        <v>49.976845403899723</v>
      </c>
      <c r="P43" s="77">
        <f t="shared" ca="1" si="36"/>
        <v>99.918900104420473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IFERROR(__xludf.DUMMYFUNCTION("IMPORTRANGE(""https://docs.google.com/spreadsheets/d/1Yj_ptqi66GCucihVvJfMjLAmec39IyEx_6qawtMGysU/edit?usp=sharing"",""สบก!Q68"")"),287300)</f>
        <v>287300</v>
      </c>
      <c r="N45" s="49">
        <f ca="1">IFERROR(__xludf.DUMMYFUNCTION("IMPORTRANGE(""https://docs.google.com/spreadsheets/d/1Yj_ptqi66GCucihVvJfMjLAmec39IyEx_6qawtMGysU/edit?usp=sharing"",""สบก!R68"")"),287067)</f>
        <v>287067</v>
      </c>
      <c r="O45" s="38">
        <f ca="1">IF(L45&gt;0,N45*100/L45,0)</f>
        <v>49.976845403899723</v>
      </c>
      <c r="P45" s="38">
        <f ca="1">IF(M45&gt;0,N45*100/M45,0)</f>
        <v>99.918900104420473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159000</v>
      </c>
      <c r="N53" s="121">
        <f t="shared" ca="1" si="39"/>
        <v>143600</v>
      </c>
      <c r="O53" s="120">
        <f t="shared" ref="O53:O55" ca="1" si="40">IF(L53&gt;0,N53*100/L53,0)</f>
        <v>47.866666666666667</v>
      </c>
      <c r="P53" s="120">
        <f t="shared" ref="P53:P55" ca="1" si="41">IF(M53&gt;0,N53*100/M53,0)</f>
        <v>90.314465408805034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159000</v>
      </c>
      <c r="N55" s="121">
        <f t="shared" ca="1" si="43"/>
        <v>143600</v>
      </c>
      <c r="O55" s="120">
        <f t="shared" ca="1" si="40"/>
        <v>47.866666666666667</v>
      </c>
      <c r="P55" s="120">
        <f t="shared" ca="1" si="41"/>
        <v>90.314465408805034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IFERROR(__xludf.DUMMYFUNCTION("IMPORTRANGE(""https://docs.google.com/spreadsheets/d/1Yj_ptqi66GCucihVvJfMjLAmec39IyEx_6qawtMGysU/edit?usp=sharing"",""สบก!Z68"")"),159000)</f>
        <v>159000</v>
      </c>
      <c r="N57" s="49">
        <f ca="1">IFERROR(__xludf.DUMMYFUNCTION("IMPORTRANGE(""https://docs.google.com/spreadsheets/d/1Yj_ptqi66GCucihVvJfMjLAmec39IyEx_6qawtMGysU/edit?usp=sharing"",""สบก!AA68"")"),143600)</f>
        <v>143600</v>
      </c>
      <c r="O57" s="38">
        <f ca="1">IF(L57&gt;0,N57*100/L57,0)</f>
        <v>47.866666666666667</v>
      </c>
      <c r="P57" s="38">
        <f ca="1">IF(M57&gt;0,N57*100/M57,0)</f>
        <v>90.314465408805034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IFERROR(__xludf.DUMMYFUNCTION("IMPORTRANGE(""https://docs.google.com/spreadsheets/d/1Yj_ptqi66GCucihVvJfMjLAmec39IyEx_6qawtMGysU/edit?usp=sharing"",""สบก!AI68"")"),0)</f>
        <v>0</v>
      </c>
      <c r="N70" s="170">
        <f ca="1">IFERROR(__xludf.DUMMYFUNCTION("IMPORTRANGE(""https://docs.google.com/spreadsheets/d/1Yj_ptqi66GCucihVvJfMjLAmec39IyEx_6qawtMGysU/edit?usp=sharing"",""สบก!AJ68"")"),0)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IFERROR(__xludf.DUMMYFUNCTION("IMPORTRANGE(""https://docs.google.com/spreadsheets/d/1Yj_ptqi66GCucihVvJfMjLAmec39IyEx_6qawtMGysU/edit?usp=sharing"",""สบก!AE68"")"),0)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IFERROR(__xludf.DUMMYFUNCTION("IMPORTRANGE(""https://docs.google.com/spreadsheets/d/1Yj_ptqi66GCucihVvJfMjLAmec39IyEx_6qawtMGysU/edit?usp=sharing"",""สบก!AF68"")"),0)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2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2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5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5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90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90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5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5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5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IFERROR(__xludf.DUMMYFUNCTION("IMPORTRANGE(""https://docs.google.com/spreadsheets/d/1Yj_ptqi66GCucihVvJfMjLAmec39IyEx_6qawtMGysU/edit?usp=sharing"",""สบก!AR68"")"),0)</f>
        <v>0</v>
      </c>
      <c r="N98" s="170">
        <f ca="1">IFERROR(__xludf.DUMMYFUNCTION("IMPORTRANGE(""https://docs.google.com/spreadsheets/d/1Yj_ptqi66GCucihVvJfMjLAmec39IyEx_6qawtMGysU/edit?usp=sharing"",""สบก!AS68"")"),0)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IFERROR(__xludf.DUMMYFUNCTION("IMPORTRANGE(""https://docs.google.com/spreadsheets/d/1Yj_ptqi66GCucihVvJfMjLAmec39IyEx_6qawtMGysU/edit?usp=sharing"",""สบก!AN68"")"),0)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IFERROR(__xludf.DUMMYFUNCTION("IMPORTRANGE(""https://docs.google.com/spreadsheets/d/1Yj_ptqi66GCucihVvJfMjLAmec39IyEx_6qawtMGysU/edit?usp=sharing"",""สบก!AO68"")"),0)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5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5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5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5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5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5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IFERROR(__xludf.DUMMYFUNCTION("IMPORTRANGE(""https://docs.google.com/spreadsheets/d/1Yj_ptqi66GCucihVvJfMjLAmec39IyEx_6qawtMGysU/edit?usp=sharing"",""สบก!BA68"")"),0)</f>
        <v>0</v>
      </c>
      <c r="N122" s="170">
        <f ca="1">IFERROR(__xludf.DUMMYFUNCTION("IMPORTRANGE(""https://docs.google.com/spreadsheets/d/1Yj_ptqi66GCucihVvJfMjLAmec39IyEx_6qawtMGysU/edit?usp=sharing"",""สบก!BB68"")"),0)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IFERROR(__xludf.DUMMYFUNCTION("IMPORTRANGE(""https://docs.google.com/spreadsheets/d/1Yj_ptqi66GCucihVvJfMjLAmec39IyEx_6qawtMGysU/edit?usp=sharing"",""สบก!AW68"")"),0)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IFERROR(__xludf.DUMMYFUNCTION("IMPORTRANGE(""https://docs.google.com/spreadsheets/d/1Yj_ptqi66GCucihVvJfMjLAmec39IyEx_6qawtMGysU/edit?usp=sharing"",""สบก!AX68"")"),0)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257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5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5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44500</v>
      </c>
      <c r="M140" s="152">
        <f t="shared" ca="1" si="64"/>
        <v>39750</v>
      </c>
      <c r="N140" s="152">
        <f t="shared" ca="1" si="64"/>
        <v>22292</v>
      </c>
      <c r="O140" s="151">
        <f t="shared" ref="O140:O142" ca="1" si="65">IF(L140&gt;0,N140*100/L140,0)</f>
        <v>50.094382022471912</v>
      </c>
      <c r="P140" s="151">
        <f t="shared" ref="P140:P142" ca="1" si="66">IF(M140&gt;0,N140*100/M140,0)</f>
        <v>56.080503144654088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44500</v>
      </c>
      <c r="M142" s="157">
        <f t="shared" ca="1" si="68"/>
        <v>39750</v>
      </c>
      <c r="N142" s="157">
        <f t="shared" ca="1" si="68"/>
        <v>22292</v>
      </c>
      <c r="O142" s="156">
        <f t="shared" ca="1" si="65"/>
        <v>50.094382022471912</v>
      </c>
      <c r="P142" s="156">
        <f t="shared" ca="1" si="66"/>
        <v>56.080503144654088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44500</v>
      </c>
      <c r="M144" s="169">
        <f ca="1">IFERROR(__xludf.DUMMYFUNCTION("IMPORTRANGE(""https://docs.google.com/spreadsheets/d/1Yj_ptqi66GCucihVvJfMjLAmec39IyEx_6qawtMGysU/edit?usp=sharing"",""สบก!BJ68"")"),39750)</f>
        <v>39750</v>
      </c>
      <c r="N144" s="170">
        <f ca="1">IFERROR(__xludf.DUMMYFUNCTION("IMPORTRANGE(""https://docs.google.com/spreadsheets/d/1Yj_ptqi66GCucihVvJfMjLAmec39IyEx_6qawtMGysU/edit?usp=sharing"",""สบก!BK68"")"),22292)</f>
        <v>22292</v>
      </c>
      <c r="O144" s="170">
        <f ca="1">IF(L144&gt;0,N144*100/L144,0)</f>
        <v>50.094382022471912</v>
      </c>
      <c r="P144" s="170">
        <f ca="1">IF(M144&gt;0,N144*100/M144,0)</f>
        <v>56.080503144654088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IFERROR(__xludf.DUMMYFUNCTION("IMPORTRANGE(""https://docs.google.com/spreadsheets/d/1Yj_ptqi66GCucihVvJfMjLAmec39IyEx_6qawtMGysU/edit?usp=sharing"",""สบก!BF68"")"),0)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IFERROR(__xludf.DUMMYFUNCTION("IMPORTRANGE(""https://docs.google.com/spreadsheets/d/1Yj_ptqi66GCucihVvJfMjLAmec39IyEx_6qawtMGysU/edit?usp=sharing"",""สบก!BG68"")"),44500)</f>
        <v>44500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IFERROR(__xludf.DUMMYFUNCTION("IMPORTRANGE(""https://docs.google.com/spreadsheets/d/1SX6NBoVAgQJ6U1MVXOaj8PK2l7WJ3RER9xtqwdhxkhw/edit?usp=sharing"",""ประจวบคีรีขันธ์!J82"")"),0)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90">
        <f ca="1">IFERROR(__xludf.DUMMYFUNCTION("IMPORTRANGE(""https://docs.google.com/spreadsheets/d/1SX6NBoVAgQJ6U1MVXOaj8PK2l7WJ3RER9xtqwdhxkhw/edit?usp=sharing"",""ประจวบคีรีขันธ์!J83"")"),1)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IFERROR(__xludf.DUMMYFUNCTION("IMPORTRANGE(""https://docs.google.com/spreadsheets/d/1SX6NBoVAgQJ6U1MVXOaj8PK2l7WJ3RER9xtqwdhxkhw/edit?usp=sharing"",""ประจวบคีรีขันธ์!J84"")"),27)</f>
        <v>27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IFERROR(__xludf.DUMMYFUNCTION("IMPORTRANGE(""https://docs.google.com/spreadsheets/d/1SX6NBoVAgQJ6U1MVXOaj8PK2l7WJ3RER9xtqwdhxkhw/edit?usp=sharing"",""ประจวบคีรีขันธ์!J85"")"),27)</f>
        <v>27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4">
        <f ca="1">IFERROR(__xludf.DUMMYFUNCTION("IMPORTRANGE(""https://docs.google.com/spreadsheets/d/1SX6NBoVAgQJ6U1MVXOaj8PK2l7WJ3RER9xtqwdhxkhw/edit?usp=sharing"",""ประจวบคีรีขันธ์!J89"")"),1)</f>
        <v>1</v>
      </c>
      <c r="K164" s="285">
        <f ca="1">IF(I164&gt;0,J164*100/I164,0)</f>
        <v>50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90">
        <f ca="1">IFERROR(__xludf.DUMMYFUNCTION("IMPORTRANGE(""https://docs.google.com/spreadsheets/d/1SX6NBoVAgQJ6U1MVXOaj8PK2l7WJ3RER9xtqwdhxkhw/edit?usp=sharing"",""ประจวบคีรีขันธ์!J98"")"),1)</f>
        <v>1</v>
      </c>
      <c r="K173" s="165">
        <f ca="1">IF(I173&gt;0,J173*100/I173,0)</f>
        <v>50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4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5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5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4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IFERROR(__xludf.DUMMYFUNCTION("IMPORTRANGE(""https://docs.google.com/spreadsheets/d/1SX6NBoVAgQJ6U1MVXOaj8PK2l7WJ3RER9xtqwdhxkhw/edit?usp=sharing"",""ประจวบคีรีขันธ์!J122"")"),0)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90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90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90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4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5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5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5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IFERROR(__xludf.DUMMYFUNCTION("IMPORTRANGE(""https://docs.google.com/spreadsheets/d/1Yj_ptqi66GCucihVvJfMjLAmec39IyEx_6qawtMGysU/edit?usp=sharing"",""สบก!BS68"")"),20210)</f>
        <v>20210</v>
      </c>
      <c r="N224" s="170">
        <f ca="1">IFERROR(__xludf.DUMMYFUNCTION("IMPORTRANGE(""https://docs.google.com/spreadsheets/d/1Yj_ptqi66GCucihVvJfMjLAmec39IyEx_6qawtMGysU/edit?usp=sharing"",""สบก!BT68"")"),20210)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IFERROR(__xludf.DUMMYFUNCTION("IMPORTRANGE(""https://docs.google.com/spreadsheets/d/1Yj_ptqi66GCucihVvJfMjLAmec39IyEx_6qawtMGysU/edit?usp=sharing"",""สบก!BO68"")"),0)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IFERROR(__xludf.DUMMYFUNCTION("IMPORTRANGE(""https://docs.google.com/spreadsheets/d/1Yj_ptqi66GCucihVvJfMjLAmec39IyEx_6qawtMGysU/edit?usp=sharing"",""สบก!BP68"")"),20210)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IFERROR(__xludf.DUMMYFUNCTION("IMPORTRANGE(""https://docs.google.com/spreadsheets/d/1SX6NBoVAgQJ6U1MVXOaj8PK2l7WJ3RER9xtqwdhxkhw/edit?usp=sharing"",""ประจวบคีรีขันธ์!J152"")"),1)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IFERROR(__xludf.DUMMYFUNCTION("IMPORTRANGE(""https://docs.google.com/spreadsheets/d/1SX6NBoVAgQJ6U1MVXOaj8PK2l7WJ3RER9xtqwdhxkhw/edit?usp=sharing"",""ประจวบคีรีขันธ์!J153"")"),1)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90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IFERROR(__xludf.DUMMYFUNCTION("IMPORTRANGE(""https://docs.google.com/spreadsheets/d/1SX6NBoVAgQJ6U1MVXOaj8PK2l7WJ3RER9xtqwdhxkhw/edit?usp=sharing"",""ประจวบคีรีขันธ์!J157"")"),0)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6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IFERROR(__xludf.DUMMYFUNCTION("IMPORTRANGE(""https://docs.google.com/spreadsheets/d/1Yj_ptqi66GCucihVvJfMjLAmec39IyEx_6qawtMGysU/edit?usp=sharing"",""สบก!CB68"")"),0)</f>
        <v>0</v>
      </c>
      <c r="N254" s="170">
        <f ca="1">IFERROR(__xludf.DUMMYFUNCTION("IMPORTRANGE(""https://docs.google.com/spreadsheets/d/1Yj_ptqi66GCucihVvJfMjLAmec39IyEx_6qawtMGysU/edit?usp=sharing"",""สบก!CC68"")"),0)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IFERROR(__xludf.DUMMYFUNCTION("IMPORTRANGE(""https://docs.google.com/spreadsheets/d/1Yj_ptqi66GCucihVvJfMjLAmec39IyEx_6qawtMGysU/edit?usp=sharing"",""สบก!BX68"")"),0)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IFERROR(__xludf.DUMMYFUNCTION("IMPORTRANGE(""https://docs.google.com/spreadsheets/d/1Yj_ptqi66GCucihVvJfMjLAmec39IyEx_6qawtMGysU/edit?usp=sharing"",""สบก!BY68"")"),0)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90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90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90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90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6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IFERROR(__xludf.DUMMYFUNCTION("IMPORTRANGE(""https://docs.google.com/spreadsheets/d/1Yj_ptqi66GCucihVvJfMjLAmec39IyEx_6qawtMGysU/edit?usp=sharing"",""สบก!CK68"")"),0)</f>
        <v>0</v>
      </c>
      <c r="N275" s="170">
        <f ca="1">IFERROR(__xludf.DUMMYFUNCTION("IMPORTRANGE(""https://docs.google.com/spreadsheets/d/1Yj_ptqi66GCucihVvJfMjLAmec39IyEx_6qawtMGysU/edit?usp=sharing"",""สบก!CL68"")"),0)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IFERROR(__xludf.DUMMYFUNCTION("IMPORTRANGE(""https://docs.google.com/spreadsheets/d/1Yj_ptqi66GCucihVvJfMjLAmec39IyEx_6qawtMGysU/edit?usp=sharing"",""สบก!CG68"")"),0)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IFERROR(__xludf.DUMMYFUNCTION("IMPORTRANGE(""https://docs.google.com/spreadsheets/d/1Yj_ptqi66GCucihVvJfMjLAmec39IyEx_6qawtMGysU/edit?usp=sharing"",""สบก!CH68"")"),0)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90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6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IFERROR(__xludf.DUMMYFUNCTION("IMPORTRANGE(""https://docs.google.com/spreadsheets/d/1Yj_ptqi66GCucihVvJfMjLAmec39IyEx_6qawtMGysU/edit?usp=sharing"",""สบก!CT68"")"),0)</f>
        <v>0</v>
      </c>
      <c r="N294" s="170">
        <f ca="1">IFERROR(__xludf.DUMMYFUNCTION("IMPORTRANGE(""https://docs.google.com/spreadsheets/d/1Yj_ptqi66GCucihVvJfMjLAmec39IyEx_6qawtMGysU/edit?usp=sharing"",""สบก!CU68"")"),0)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IFERROR(__xludf.DUMMYFUNCTION("IMPORTRANGE(""https://docs.google.com/spreadsheets/d/1Yj_ptqi66GCucihVvJfMjLAmec39IyEx_6qawtMGysU/edit?usp=sharing"",""สบก!CP68"")"),0)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IFERROR(__xludf.DUMMYFUNCTION("IMPORTRANGE(""https://docs.google.com/spreadsheets/d/1Yj_ptqi66GCucihVvJfMjLAmec39IyEx_6qawtMGysU/edit?usp=sharing"",""สบก!CQ68"")"),0)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5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5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3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IFERROR(__xludf.DUMMYFUNCTION("IMPORTRANGE(""https://docs.google.com/spreadsheets/d/1Yj_ptqi66GCucihVvJfMjLAmec39IyEx_6qawtMGysU/edit?usp=sharing"",""สบก!DC68"")"),0)</f>
        <v>0</v>
      </c>
      <c r="N314" s="170">
        <f ca="1">IFERROR(__xludf.DUMMYFUNCTION("IMPORTRANGE(""https://docs.google.com/spreadsheets/d/1Yj_ptqi66GCucihVvJfMjLAmec39IyEx_6qawtMGysU/edit?usp=sharing"",""สบก!DD68"")"),0)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IFERROR(__xludf.DUMMYFUNCTION("IMPORTRANGE(""https://docs.google.com/spreadsheets/d/1Yj_ptqi66GCucihVvJfMjLAmec39IyEx_6qawtMGysU/edit?usp=sharing"",""สบก!CY68"")"),0)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IFERROR(__xludf.DUMMYFUNCTION("IMPORTRANGE(""https://docs.google.com/spreadsheets/d/1Yj_ptqi66GCucihVvJfMjLAmec39IyEx_6qawtMGysU/edit?usp=sharing"",""สบก!CZ68"")"),0)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5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39">
        <f ca="1">IFERROR(__xludf.DUMMYFUNCTION("IMPORTRANGE(""https://docs.google.com/spreadsheets/d/1SX6NBoVAgQJ6U1MVXOaj8PK2l7WJ3RER9xtqwdhxkhw/edit?usp=sharing"",""ประจวบคีรีขันธ์!J228"")"),8)</f>
        <v>8</v>
      </c>
      <c r="K328" s="317">
        <f ca="1">IF(I328&gt;0,J328*100/I328,0)</f>
        <v>5.9259259259259256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931960</v>
      </c>
      <c r="M329" s="152">
        <f t="shared" ca="1" si="98"/>
        <v>553150</v>
      </c>
      <c r="N329" s="152">
        <f t="shared" ca="1" si="98"/>
        <v>437476</v>
      </c>
      <c r="O329" s="151">
        <f t="shared" ref="O329:O331" ca="1" si="99">IF(L329&gt;0,N329*100/L329,0)</f>
        <v>46.941499635177479</v>
      </c>
      <c r="P329" s="151">
        <f t="shared" ref="P329:P331" ca="1" si="100">IF(M329&gt;0,N329*100/M329,0)</f>
        <v>79.088131609870743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931960</v>
      </c>
      <c r="M331" s="157">
        <f t="shared" ca="1" si="102"/>
        <v>553150</v>
      </c>
      <c r="N331" s="157">
        <f t="shared" ca="1" si="102"/>
        <v>437476</v>
      </c>
      <c r="O331" s="156">
        <f t="shared" ca="1" si="99"/>
        <v>46.941499635177479</v>
      </c>
      <c r="P331" s="156">
        <f t="shared" ca="1" si="100"/>
        <v>79.088131609870743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784960</v>
      </c>
      <c r="M333" s="169">
        <f ca="1">IFERROR(__xludf.DUMMYFUNCTION("IMPORTRANGE(""https://docs.google.com/spreadsheets/d/1Yj_ptqi66GCucihVvJfMjLAmec39IyEx_6qawtMGysU/edit?usp=sharing"",""สบก!DL68"")"),406150)</f>
        <v>406150</v>
      </c>
      <c r="N333" s="170">
        <f ca="1">IFERROR(__xludf.DUMMYFUNCTION("IMPORTRANGE(""https://docs.google.com/spreadsheets/d/1Yj_ptqi66GCucihVvJfMjLAmec39IyEx_6qawtMGysU/edit?usp=sharing"",""สบก!DM68"")"),290476)</f>
        <v>290476</v>
      </c>
      <c r="O333" s="170">
        <f ca="1">IF(L333&gt;0,N333*100/L333,0)</f>
        <v>37.005197717081124</v>
      </c>
      <c r="P333" s="170">
        <f ca="1">IF(M333&gt;0,N333*100/M333,0)</f>
        <v>71.51938938815708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IFERROR(__xludf.DUMMYFUNCTION("IMPORTRANGE(""https://docs.google.com/spreadsheets/d/1Yj_ptqi66GCucihVvJfMjLAmec39IyEx_6qawtMGysU/edit?usp=sharing"",""สบก!DH68"")"),505100)</f>
        <v>505100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IFERROR(__xludf.DUMMYFUNCTION("IMPORTRANGE(""https://docs.google.com/spreadsheets/d/1Yj_ptqi66GCucihVvJfMjLAmec39IyEx_6qawtMGysU/edit?usp=sharing"",""สบก!DI68"")"),279860)</f>
        <v>279860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9">
        <f ca="1">IFERROR(__xludf.DUMMYFUNCTION("IMPORTRANGE(""https://docs.google.com/spreadsheets/d/1SX6NBoVAgQJ6U1MVXOaj8PK2l7WJ3RER9xtqwdhxkhw/edit?usp=sharing"",""ประจวบคีรีขันธ์!J234"")"),0)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9">
        <f ca="1">IFERROR(__xludf.DUMMYFUNCTION("IMPORTRANGE(""https://docs.google.com/spreadsheets/d/1SX6NBoVAgQJ6U1MVXOaj8PK2l7WJ3RER9xtqwdhxkhw/edit?usp=sharing"",""ประจวบคีรีขันธ์!J235"")"),0)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9">
        <f ca="1">IFERROR(__xludf.DUMMYFUNCTION("IMPORTRANGE(""https://docs.google.com/spreadsheets/d/1SX6NBoVAgQJ6U1MVXOaj8PK2l7WJ3RER9xtqwdhxkhw/edit?usp=sharing"",""ประจวบคีรีขันธ์!J236"")"),5)</f>
        <v>5</v>
      </c>
      <c r="K341" s="342">
        <f t="shared" ca="1" si="103"/>
        <v>3.7037037037037037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9">
        <f ca="1">IFERROR(__xludf.DUMMYFUNCTION("IMPORTRANGE(""https://docs.google.com/spreadsheets/d/1SX6NBoVAgQJ6U1MVXOaj8PK2l7WJ3RER9xtqwdhxkhw/edit?usp=sharing"",""ประจวบคีรีขันธ์!J237"")"),58.17)</f>
        <v>58.17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9">
        <f ca="1">IFERROR(__xludf.DUMMYFUNCTION("IMPORTRANGE(""https://docs.google.com/spreadsheets/d/1SX6NBoVAgQJ6U1MVXOaj8PK2l7WJ3RER9xtqwdhxkhw/edit?usp=sharing"",""ประจวบคีรีขันธ์!J238"")"),0)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9">
        <f ca="1">IFERROR(__xludf.DUMMYFUNCTION("IMPORTRANGE(""https://docs.google.com/spreadsheets/d/1SX6NBoVAgQJ6U1MVXOaj8PK2l7WJ3RER9xtqwdhxkhw/edit?usp=sharing"",""ประจวบคีรีขันธ์!J239"")"),0)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9">
        <f ca="1">IFERROR(__xludf.DUMMYFUNCTION("IMPORTRANGE(""https://docs.google.com/spreadsheets/d/1SX6NBoVAgQJ6U1MVXOaj8PK2l7WJ3RER9xtqwdhxkhw/edit?usp=sharing"",""ประจวบคีรีขันธ์!J240"")"),8)</f>
        <v>8</v>
      </c>
      <c r="K345" s="342">
        <f t="shared" ca="1" si="103"/>
        <v>5.9259259259259256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9">
        <f ca="1">IFERROR(__xludf.DUMMYFUNCTION("IMPORTRANGE(""https://docs.google.com/spreadsheets/d/1SX6NBoVAgQJ6U1MVXOaj8PK2l7WJ3RER9xtqwdhxkhw/edit?usp=sharing"",""ประจวบคีรีขันธ์!J241"")"),83.4)</f>
        <v>83.4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IFERROR(__xludf.DUMMYFUNCTION("IMPORTRANGE(""https://docs.google.com/spreadsheets/d/1SX6NBoVAgQJ6U1MVXOaj8PK2l7WJ3RER9xtqwdhxkhw/edit?usp=sharing"",""ประจวบคีรีขันธ์!L242"")"),949579)</f>
        <v>949579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IFERROR(__xludf.DUMMYFUNCTION("IMPORTRANGE(""https://docs.google.com/spreadsheets/d/1SX6NBoVAgQJ6U1MVXOaj8PK2l7WJ3RER9xtqwdhxkhw/edit?usp=sharing"",""ประจวบคีรีขันธ์!M242"")"),677996.89)</f>
        <v>677996.89</v>
      </c>
      <c r="O347" s="358">
        <f ca="1">+IF(L347&gt;0,N347*100/L347,0)</f>
        <v>71.399735040475832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6"/>
      <c r="N351" s="166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7"/>
      <c r="N352" s="166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70"/>
      <c r="N353" s="170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70"/>
      <c r="N354" s="169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9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5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5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90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90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5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9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90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5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IFERROR(__xludf.DUMMYFUNCTION("IMPORTRANGE(""https://docs.google.com/spreadsheets/d/1SX6NBoVAgQJ6U1MVXOaj8PK2l7WJ3RER9xtqwdhxkhw/edit?usp=sharing"",""ประจวบคีรีขันธ์!M275"")"),447525)</f>
        <v>447525</v>
      </c>
      <c r="O380" s="373">
        <f ca="1">+IF(L380&gt;0,N380*100/L380,0)</f>
        <v>97.258443082540097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6"/>
      <c r="N382" s="166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7"/>
      <c r="N383" s="167">
        <f ca="1">IFERROR(__xludf.DUMMYFUNCTION("IMPORTRANGE(""https://docs.google.com/spreadsheets/d/1SX6NBoVAgQJ6U1MVXOaj8PK2l7WJ3RER9xtqwdhxkhw/edit?usp=sharing"",""ประจวบคีรีขันธ์!M278"")"),447525)</f>
        <v>447525</v>
      </c>
      <c r="O383" s="167">
        <f t="shared" ca="1" si="109"/>
        <v>97.258443082540097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70"/>
      <c r="N384" s="170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70"/>
      <c r="N385" s="169">
        <f ca="1">IFERROR(__xludf.DUMMYFUNCTION("IMPORTRANGE(""https://docs.google.com/spreadsheets/d/1SX6NBoVAgQJ6U1MVXOaj8PK2l7WJ3RER9xtqwdhxkhw/edit?usp=sharing"",""ประจวบคีรีขันธ์!M280"")"),447525)</f>
        <v>447525</v>
      </c>
      <c r="O385" s="170">
        <f t="shared" ca="1" si="109"/>
        <v>97.258443082540097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IFERROR(__xludf.DUMMYFUNCTION("IMPORTRANGE(""https://docs.google.com/spreadsheets/d/1SX6NBoVAgQJ6U1MVXOaj8PK2l7WJ3RER9xtqwdhxkhw/edit?usp=sharing"",""ประจวบคีรีขันธ์!M284"")"),24025)</f>
        <v>24025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9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9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5">
        <f t="shared" ca="1" si="110"/>
        <v>100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9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5">
        <f t="shared" ca="1" si="110"/>
        <v>100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IFERROR(__xludf.DUMMYFUNCTION("IMPORTRANGE(""https://docs.google.com/spreadsheets/d/1SX6NBoVAgQJ6U1MVXOaj8PK2l7WJ3RER9xtqwdhxkhw/edit?usp=sharing"",""ประจวบคีรีขันธ์!M296"")"),60920)</f>
        <v>60920</v>
      </c>
      <c r="O401" s="373">
        <f ca="1">+IF(L401&gt;0,N401*100/L401,0)</f>
        <v>63.750523231477608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6"/>
      <c r="N403" s="170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7"/>
      <c r="N404" s="170">
        <f ca="1">IFERROR(__xludf.DUMMYFUNCTION("IMPORTRANGE(""https://docs.google.com/spreadsheets/d/1SX6NBoVAgQJ6U1MVXOaj8PK2l7WJ3RER9xtqwdhxkhw/edit?usp=sharing"",""ประจวบคีรีขันธ์!M299"")"),60920)</f>
        <v>60920</v>
      </c>
      <c r="O404" s="170">
        <f t="shared" ca="1" si="112"/>
        <v>63.750523231477608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70"/>
      <c r="N405" s="170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70"/>
      <c r="N406" s="170">
        <f ca="1">IFERROR(__xludf.DUMMYFUNCTION("IMPORTRANGE(""https://docs.google.com/spreadsheets/d/1SX6NBoVAgQJ6U1MVXOaj8PK2l7WJ3RER9xtqwdhxkhw/edit?usp=sharing"",""ประจวบคีรีขันธ์!M301"")"),60920)</f>
        <v>60920</v>
      </c>
      <c r="O406" s="170">
        <f t="shared" ca="1" si="112"/>
        <v>63.750523231477608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IFERROR(__xludf.DUMMYFUNCTION("IMPORTRANGE(""https://docs.google.com/spreadsheets/d/1SX6NBoVAgQJ6U1MVXOaj8PK2l7WJ3RER9xtqwdhxkhw/edit?usp=sharing"",""ประจวบคีรีขันธ์!M302"")"),60560)</f>
        <v>60560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IFERROR(__xludf.DUMMYFUNCTION("IMPORTRANGE(""https://docs.google.com/spreadsheets/d/1SX6NBoVAgQJ6U1MVXOaj8PK2l7WJ3RER9xtqwdhxkhw/edit?usp=sharing"",""ประจวบคีรีขันธ์!M303"")"),0)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IFERROR(__xludf.DUMMYFUNCTION("IMPORTRANGE(""https://docs.google.com/spreadsheets/d/1SX6NBoVAgQJ6U1MVXOaj8PK2l7WJ3RER9xtqwdhxkhw/edit?usp=sharing"",""ประจวบคีรีขันธ์!M305"")"),360)</f>
        <v>360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2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IFERROR(__xludf.DUMMYFUNCTION("IMPORTRANGE(""https://docs.google.com/spreadsheets/d/1SX6NBoVAgQJ6U1MVXOaj8PK2l7WJ3RER9xtqwdhxkhw/edit?usp=sharing"",""ประจวบคีรีขันธ์!M330"")"),69285)</f>
        <v>69285</v>
      </c>
      <c r="O435" s="412">
        <f t="shared" ref="O435:O439" ca="1" si="114">+IF(L435&gt;0,N435*100/L435,0)</f>
        <v>91.16447368421052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6"/>
      <c r="N436" s="170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7"/>
      <c r="N437" s="170">
        <f ca="1">IFERROR(__xludf.DUMMYFUNCTION("IMPORTRANGE(""https://docs.google.com/spreadsheets/d/1SX6NBoVAgQJ6U1MVXOaj8PK2l7WJ3RER9xtqwdhxkhw/edit?usp=sharing"",""ประจวบคีรีขันธ์!M332"")"),69285)</f>
        <v>69285</v>
      </c>
      <c r="O437" s="170">
        <f t="shared" ca="1" si="114"/>
        <v>91.16447368421052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70"/>
      <c r="N438" s="170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70"/>
      <c r="N439" s="170">
        <f ca="1">IFERROR(__xludf.DUMMYFUNCTION("IMPORTRANGE(""https://docs.google.com/spreadsheets/d/1SX6NBoVAgQJ6U1MVXOaj8PK2l7WJ3RER9xtqwdhxkhw/edit?usp=sharing"",""ประจวบคีรีขันธ์!M334"")"),69285)</f>
        <v>69285</v>
      </c>
      <c r="O439" s="170">
        <f t="shared" ca="1" si="114"/>
        <v>91.16447368421052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IFERROR(__xludf.DUMMYFUNCTION("IMPORTRANGE(""https://docs.google.com/spreadsheets/d/1SX6NBoVAgQJ6U1MVXOaj8PK2l7WJ3RER9xtqwdhxkhw/edit?usp=sharing"",""ประจวบคีรีขันธ์!M335"")"),20200)</f>
        <v>20200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IFERROR(__xludf.DUMMYFUNCTION("IMPORTRANGE(""https://docs.google.com/spreadsheets/d/1SX6NBoVAgQJ6U1MVXOaj8PK2l7WJ3RER9xtqwdhxkhw/edit?usp=sharing"",""ประจวบคีรีขันธ์!M338"")"),49085)</f>
        <v>49085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2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90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9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9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IFERROR(__xludf.DUMMYFUNCTION("IMPORTRANGE(""https://docs.google.com/spreadsheets/d/1SX6NBoVAgQJ6U1MVXOaj8PK2l7WJ3RER9xtqwdhxkhw/edit?usp=sharing"",""ประจวบคีรีขันธ์!L350"")"),155069)</f>
        <v>155069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IFERROR(__xludf.DUMMYFUNCTION("IMPORTRANGE(""https://docs.google.com/spreadsheets/d/1SX6NBoVAgQJ6U1MVXOaj8PK2l7WJ3RER9xtqwdhxkhw/edit?usp=sharing"",""ประจวบคีรีขันธ์!M350"")"),21459)</f>
        <v>21459</v>
      </c>
      <c r="O455" s="373">
        <f t="shared" ref="O455:O459" ca="1" si="116">+IF(L455&gt;0,N455*100/L455,0)</f>
        <v>13.838355828695613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6"/>
      <c r="N456" s="170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IFERROR(__xludf.DUMMYFUNCTION("IMPORTRANGE(""https://docs.google.com/spreadsheets/d/1SX6NBoVAgQJ6U1MVXOaj8PK2l7WJ3RER9xtqwdhxkhw/edit?usp=sharing"",""ประจวบคีรีขันธ์!L352"")"),155069)</f>
        <v>155069</v>
      </c>
      <c r="M457" s="167"/>
      <c r="N457" s="170">
        <f ca="1">IFERROR(__xludf.DUMMYFUNCTION("IMPORTRANGE(""https://docs.google.com/spreadsheets/d/1SX6NBoVAgQJ6U1MVXOaj8PK2l7WJ3RER9xtqwdhxkhw/edit?usp=sharing"",""ประจวบคีรีขันธ์!M352"")"),21459)</f>
        <v>21459</v>
      </c>
      <c r="O457" s="170">
        <f t="shared" ca="1" si="116"/>
        <v>13.838355828695613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70"/>
      <c r="N458" s="170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IFERROR(__xludf.DUMMYFUNCTION("IMPORTRANGE(""https://docs.google.com/spreadsheets/d/1SX6NBoVAgQJ6U1MVXOaj8PK2l7WJ3RER9xtqwdhxkhw/edit?usp=sharing"",""ประจวบคีรีขันธ์!L354"")"),155069)</f>
        <v>155069</v>
      </c>
      <c r="M459" s="170"/>
      <c r="N459" s="170">
        <f ca="1">IFERROR(__xludf.DUMMYFUNCTION("IMPORTRANGE(""https://docs.google.com/spreadsheets/d/1SX6NBoVAgQJ6U1MVXOaj8PK2l7WJ3RER9xtqwdhxkhw/edit?usp=sharing"",""ประจวบคีรีขันธ์!M354"")"),21459)</f>
        <v>21459</v>
      </c>
      <c r="O459" s="170">
        <f t="shared" ca="1" si="116"/>
        <v>13.838355828695613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IFERROR(__xludf.DUMMYFUNCTION("IMPORTRANGE(""https://docs.google.com/spreadsheets/d/1SX6NBoVAgQJ6U1MVXOaj8PK2l7WJ3RER9xtqwdhxkhw/edit?usp=sharing"",""ประจวบคีรีขันธ์!M358"")"),21459)</f>
        <v>21459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90">
        <f ca="1">IFERROR(__xludf.DUMMYFUNCTION("IMPORTRANGE(""https://docs.google.com/spreadsheets/d/1SX6NBoVAgQJ6U1MVXOaj8PK2l7WJ3RER9xtqwdhxkhw/edit?usp=sharing"",""ประจวบคีรีขันธ์!J362"")"),14932)</f>
        <v>14932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90">
        <f ca="1">IFERROR(__xludf.DUMMYFUNCTION("IMPORTRANGE(""https://docs.google.com/spreadsheets/d/1SX6NBoVAgQJ6U1MVXOaj8PK2l7WJ3RER9xtqwdhxkhw/edit?usp=sharing"",""ประจวบคีรีขันธ์!J363"")"),1508)</f>
        <v>1508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90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90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90">
        <f ca="1">IFERROR(__xludf.DUMMYFUNCTION("IMPORTRANGE(""https://docs.google.com/spreadsheets/d/1SX6NBoVAgQJ6U1MVXOaj8PK2l7WJ3RER9xtqwdhxkhw/edit?usp=sharing"",""ประจวบคีรีขันธ์!J366"")"),362)</f>
        <v>362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90">
        <f ca="1">IFERROR(__xludf.DUMMYFUNCTION("IMPORTRANGE(""https://docs.google.com/spreadsheets/d/1SX6NBoVAgQJ6U1MVXOaj8PK2l7WJ3RER9xtqwdhxkhw/edit?usp=sharing"",""ประจวบคีรีขันธ์!J367"")"),46)</f>
        <v>46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90">
        <f ca="1">IFERROR(__xludf.DUMMYFUNCTION("IMPORTRANGE(""https://docs.google.com/spreadsheets/d/1SX6NBoVAgQJ6U1MVXOaj8PK2l7WJ3RER9xtqwdhxkhw/edit?usp=sharing"",""ประจวบคีรีขันธ์!J370"")"),0)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90">
        <f ca="1">IFERROR(__xludf.DUMMYFUNCTION("IMPORTRANGE(""https://docs.google.com/spreadsheets/d/1SX6NBoVAgQJ6U1MVXOaj8PK2l7WJ3RER9xtqwdhxkhw/edit?usp=sharing"",""ประจวบคีรีขันธ์!J371"")"),0)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90">
        <f ca="1">IFERROR(__xludf.DUMMYFUNCTION("IMPORTRANGE(""https://docs.google.com/spreadsheets/d/1SX6NBoVAgQJ6U1MVXOaj8PK2l7WJ3RER9xtqwdhxkhw/edit?usp=sharing"",""ประจวบคีรีขันธ์!J372"")"),0)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90">
        <f ca="1">IFERROR(__xludf.DUMMYFUNCTION("IMPORTRANGE(""https://docs.google.com/spreadsheets/d/1SX6NBoVAgQJ6U1MVXOaj8PK2l7WJ3RER9xtqwdhxkhw/edit?usp=sharing"",""ประจวบคีรีขันธ์!J373"")"),0)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90">
        <f ca="1">IFERROR(__xludf.DUMMYFUNCTION("IMPORTRANGE(""https://docs.google.com/spreadsheets/d/1SX6NBoVAgQJ6U1MVXOaj8PK2l7WJ3RER9xtqwdhxkhw/edit?usp=sharing"",""ประจวบคีรีขันธ์!J374"")"),0)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90">
        <f ca="1">IFERROR(__xludf.DUMMYFUNCTION("IMPORTRANGE(""https://docs.google.com/spreadsheets/d/1SX6NBoVAgQJ6U1MVXOaj8PK2l7WJ3RER9xtqwdhxkhw/edit?usp=sharing"",""ประจวบคีรีขันธ์!J375"")"),0)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90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90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90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90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90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90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90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90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90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4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4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90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9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90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9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90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9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4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4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9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9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9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9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9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9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4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4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9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9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9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9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9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9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4">
        <f ca="1">IFERROR(__xludf.DUMMYFUNCTION("IMPORTRANGE(""https://docs.google.com/spreadsheets/d/1SX6NBoVAgQJ6U1MVXOaj8PK2l7WJ3RER9xtqwdhxkhw/edit?usp=sharing"",""ประจวบคีรีขันธ์!J420"")"),0)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4">
        <f ca="1">IFERROR(__xludf.DUMMYFUNCTION("IMPORTRANGE(""https://docs.google.com/spreadsheets/d/1SX6NBoVAgQJ6U1MVXOaj8PK2l7WJ3RER9xtqwdhxkhw/edit?usp=sharing"",""ประจวบคีรีขันธ์!J421"")"),0)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9">
        <f ca="1">IFERROR(__xludf.DUMMYFUNCTION("IMPORTRANGE(""https://docs.google.com/spreadsheets/d/1SX6NBoVAgQJ6U1MVXOaj8PK2l7WJ3RER9xtqwdhxkhw/edit?usp=sharing"",""ประจวบคีรีขันธ์!J422"")"),0)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9">
        <f ca="1">IFERROR(__xludf.DUMMYFUNCTION("IMPORTRANGE(""https://docs.google.com/spreadsheets/d/1SX6NBoVAgQJ6U1MVXOaj8PK2l7WJ3RER9xtqwdhxkhw/edit?usp=sharing"",""ประจวบคีรีขันธ์!J423"")"),0)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9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9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9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O533" s="412">
        <f t="shared" ref="O533:O537" ca="1" si="118">+IF(L533&gt;0,N533*100/L533,0)</f>
        <v>92.923704135119394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6"/>
      <c r="N534" s="170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7"/>
      <c r="N535" s="170">
        <f ca="1">IFERROR(__xludf.DUMMYFUNCTION("IMPORTRANGE(""https://docs.google.com/spreadsheets/d/1SX6NBoVAgQJ6U1MVXOaj8PK2l7WJ3RER9xtqwdhxkhw/edit?usp=sharing"",""ประจวบคีรีขันธ์!M430"")"),31910)</f>
        <v>31910</v>
      </c>
      <c r="O535" s="170">
        <f t="shared" ca="1" si="118"/>
        <v>92.923704135119394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70"/>
      <c r="N536" s="170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70"/>
      <c r="N537" s="170">
        <f ca="1">IFERROR(__xludf.DUMMYFUNCTION("IMPORTRANGE(""https://docs.google.com/spreadsheets/d/1SX6NBoVAgQJ6U1MVXOaj8PK2l7WJ3RER9xtqwdhxkhw/edit?usp=sharing"",""ประจวบคีรีขันธ์!M432"")"),31910)</f>
        <v>31910</v>
      </c>
      <c r="O537" s="170">
        <f t="shared" ca="1" si="118"/>
        <v>92.923704135119394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IFERROR(__xludf.DUMMYFUNCTION("IMPORTRANGE(""https://docs.google.com/spreadsheets/d/1SX6NBoVAgQJ6U1MVXOaj8PK2l7WJ3RER9xtqwdhxkhw/edit?usp=sharing"",""ประจวบคีรีขันธ์!M436"")"),13170)</f>
        <v>13170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90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6"/>
      <c r="N552" s="170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7"/>
      <c r="N553" s="170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70"/>
      <c r="N554" s="170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70"/>
      <c r="N555" s="170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4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5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IFERROR(__xludf.DUMMYFUNCTION("IMPORTRANGE(""https://docs.google.com/spreadsheets/d/1SX6NBoVAgQJ6U1MVXOaj8PK2l7WJ3RER9xtqwdhxkhw/edit?usp=sharing"",""ประจวบคีรีขันธ์!I457"")"),0)</f>
        <v>0</v>
      </c>
      <c r="J562" s="205" t="str">
        <f ca="1">IFERROR(__xludf.DUMMYFUNCTION("IMPORTRANGE(""https://docs.google.com/spreadsheets/d/1SX6NBoVAgQJ6U1MVXOaj8PK2l7WJ3RER9xtqwdhxkhw/edit?usp=sharing"",""ประจวบคีรีขันธ์!J457"")"),"")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IFERROR(__xludf.DUMMYFUNCTION("IMPORTRANGE(""https://docs.google.com/spreadsheets/d/1SX6NBoVAgQJ6U1MVXOaj8PK2l7WJ3RER9xtqwdhxkhw/edit?usp=sharing"",""ประจวบคีรีขันธ์!I458"")"),0)</f>
        <v>0</v>
      </c>
      <c r="J563" s="189" t="str">
        <f ca="1">IFERROR(__xludf.DUMMYFUNCTION("IMPORTRANGE(""https://docs.google.com/spreadsheets/d/1SX6NBoVAgQJ6U1MVXOaj8PK2l7WJ3RER9xtqwdhxkhw/edit?usp=sharing"",""ประจวบคีรีขันธ์!J458"")"),"")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IFERROR(__xludf.DUMMYFUNCTION("IMPORTRANGE(""https://docs.google.com/spreadsheets/d/1SX6NBoVAgQJ6U1MVXOaj8PK2l7WJ3RER9xtqwdhxkhw/edit?usp=sharing"",""ประจวบคีรีขันธ์!J459"")"),770)</f>
        <v>770</v>
      </c>
      <c r="K564" s="372">
        <f t="shared" ca="1" si="121"/>
        <v>110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IFERROR(__xludf.DUMMYFUNCTION("IMPORTRANGE(""https://docs.google.com/spreadsheets/d/1SX6NBoVAgQJ6U1MVXOaj8PK2l7WJ3RER9xtqwdhxkhw/edit?usp=sharing"",""ประจวบคีรีขันธ์!M459"")"),43967.89)</f>
        <v>43967.89</v>
      </c>
      <c r="O564" s="373">
        <f t="shared" ref="O564:O568" ca="1" si="122">+IF(L564&gt;0,N564*100/L564,0)</f>
        <v>36.18160796576695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6"/>
      <c r="N565" s="170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7"/>
      <c r="N566" s="170">
        <f ca="1">IFERROR(__xludf.DUMMYFUNCTION("IMPORTRANGE(""https://docs.google.com/spreadsheets/d/1SX6NBoVAgQJ6U1MVXOaj8PK2l7WJ3RER9xtqwdhxkhw/edit?usp=sharing"",""ประจวบคีรีขันธ์!M461"")"),43967.89)</f>
        <v>43967.89</v>
      </c>
      <c r="O566" s="170">
        <f t="shared" ca="1" si="122"/>
        <v>36.18160796576695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70"/>
      <c r="N567" s="170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70"/>
      <c r="N568" s="170">
        <f ca="1">IFERROR(__xludf.DUMMYFUNCTION("IMPORTRANGE(""https://docs.google.com/spreadsheets/d/1SX6NBoVAgQJ6U1MVXOaj8PK2l7WJ3RER9xtqwdhxkhw/edit?usp=sharing"",""ประจวบคีรีขันธ์!M463"")"),43967.89)</f>
        <v>43967.89</v>
      </c>
      <c r="O568" s="170">
        <f t="shared" ca="1" si="122"/>
        <v>36.18160796576695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IFERROR(__xludf.DUMMYFUNCTION("IMPORTRANGE(""https://docs.google.com/spreadsheets/d/1SX6NBoVAgQJ6U1MVXOaj8PK2l7WJ3RER9xtqwdhxkhw/edit?usp=sharing"",""ประจวบคีรีขันธ์!M466"")"),37967.89)</f>
        <v>37967.89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IFERROR(__xludf.DUMMYFUNCTION("IMPORTRANGE(""https://docs.google.com/spreadsheets/d/1SX6NBoVAgQJ6U1MVXOaj8PK2l7WJ3RER9xtqwdhxkhw/edit?usp=sharing"",""ประจวบคีรีขันธ์!M467"")"),6000)</f>
        <v>6000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IFERROR(__xludf.DUMMYFUNCTION("IMPORTRANGE(""https://docs.google.com/spreadsheets/d/1SX6NBoVAgQJ6U1MVXOaj8PK2l7WJ3RER9xtqwdhxkhw/edit?usp=sharing"",""ประจวบคีรีขันธ์!J468"")"),770)</f>
        <v>770</v>
      </c>
      <c r="K573" s="203">
        <f ca="1">IF(I573&gt;0,J573*100/I573,0)</f>
        <v>110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9">
        <f ca="1">IFERROR(__xludf.DUMMYFUNCTION("IMPORTRANGE(""https://docs.google.com/spreadsheets/d/1SX6NBoVAgQJ6U1MVXOaj8PK2l7WJ3RER9xtqwdhxkhw/edit?usp=sharing"",""ประจวบคีรีขันธ์!J470"")"),0)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9">
        <f ca="1">IFERROR(__xludf.DUMMYFUNCTION("IMPORTRANGE(""https://docs.google.com/spreadsheets/d/1SX6NBoVAgQJ6U1MVXOaj8PK2l7WJ3RER9xtqwdhxkhw/edit?usp=sharing"",""ประจวบคีรีขันธ์!J471"")"),0)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90">
        <f ca="1">IFERROR(__xludf.DUMMYFUNCTION("IMPORTRANGE(""https://docs.google.com/spreadsheets/d/1SX6NBoVAgQJ6U1MVXOaj8PK2l7WJ3RER9xtqwdhxkhw/edit?usp=sharing"",""ประจวบคีรีขันธ์!J472"")"),770)</f>
        <v>770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9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9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IFERROR(__xludf.DUMMYFUNCTION("IMPORTRANGE(""https://docs.google.com/spreadsheets/d/1SX6NBoVAgQJ6U1MVXOaj8PK2l7WJ3RER9xtqwdhxkhw/edit?usp=sharing"",""ประจวบคีรีขันธ์!J475"")"),4)</f>
        <v>4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6"/>
      <c r="N581" s="170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7"/>
      <c r="N582" s="170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70"/>
      <c r="N583" s="170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70"/>
      <c r="N584" s="170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9">
        <f ca="1">IFERROR(__xludf.DUMMYFUNCTION("IMPORTRANGE(""https://docs.google.com/spreadsheets/d/1SX6NBoVAgQJ6U1MVXOaj8PK2l7WJ3RER9xtqwdhxkhw/edit?usp=sharing"",""ประจวบคีรีขันธ์!J484"")"),3)</f>
        <v>3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9">
        <f ca="1">IFERROR(__xludf.DUMMYFUNCTION("IMPORTRANGE(""https://docs.google.com/spreadsheets/d/1SX6NBoVAgQJ6U1MVXOaj8PK2l7WJ3RER9xtqwdhxkhw/edit?usp=sharing"",""ประจวบคีรีขันธ์!J485"")"),0.36)</f>
        <v>0.36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9">
        <f ca="1">IFERROR(__xludf.DUMMYFUNCTION("IMPORTRANGE(""https://docs.google.com/spreadsheets/d/1SX6NBoVAgQJ6U1MVXOaj8PK2l7WJ3RER9xtqwdhxkhw/edit?usp=sharing"",""ประจวบคีรีขันธ์!J486"")"),4)</f>
        <v>4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9">
        <f ca="1">IFERROR(__xludf.DUMMYFUNCTION("IMPORTRANGE(""https://docs.google.com/spreadsheets/d/1SX6NBoVAgQJ6U1MVXOaj8PK2l7WJ3RER9xtqwdhxkhw/edit?usp=sharing"",""ประจวบคีรีขันธ์!J487"")"),0.65)</f>
        <v>0.65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9">
        <f ca="1">IFERROR(__xludf.DUMMYFUNCTION("IMPORTRANGE(""https://docs.google.com/spreadsheets/d/1SX6NBoVAgQJ6U1MVXOaj8PK2l7WJ3RER9xtqwdhxkhw/edit?usp=sharing"",""ประจวบคีรีขันธ์!J488"")"),0)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9">
        <f ca="1">IFERROR(__xludf.DUMMYFUNCTION("IMPORTRANGE(""https://docs.google.com/spreadsheets/d/1SX6NBoVAgQJ6U1MVXOaj8PK2l7WJ3RER9xtqwdhxkhw/edit?usp=sharing"",""ประจวบคีรีขันธ์!J489"")"),0)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9">
        <f ca="1">IFERROR(__xludf.DUMMYFUNCTION("IMPORTRANGE(""https://docs.google.com/spreadsheets/d/1SX6NBoVAgQJ6U1MVXOaj8PK2l7WJ3RER9xtqwdhxkhw/edit?usp=sharing"",""ประจวบคีรีขันธ์!J490"")"),4)</f>
        <v>4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7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6"/>
      <c r="N598" s="170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7"/>
      <c r="N599" s="170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70">
        <f t="shared" ca="1" si="126"/>
        <v>42.158273381294961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70"/>
      <c r="N600" s="170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70"/>
      <c r="N601" s="170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70">
        <f t="shared" ca="1" si="126"/>
        <v>42.158273381294961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IFERROR(__xludf.DUMMYFUNCTION("IMPORTRANGE(""https://docs.google.com/spreadsheets/d/1SX6NBoVAgQJ6U1MVXOaj8PK2l7WJ3RER9xtqwdhxkhw/edit?usp=sharing"",""ประจวบคีรีขันธ์!J503"")"),0)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4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9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5">
        <f t="shared" ca="1" si="127"/>
        <v>30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9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5">
        <f t="shared" ca="1" si="127"/>
        <v>30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9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9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9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9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90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90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4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4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90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90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9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90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90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1">
        <f ca="1">IFERROR(__xludf.DUMMYFUNCTION("IMPORTRANGE(""https://docs.google.com/spreadsheets/d/1SX6NBoVAgQJ6U1MVXOaj8PK2l7WJ3RER9xtqwdhxkhw/edit?usp=sharing"",""ประจวบคีรีขันธ์!J523"")"),245032.81)</f>
        <v>245032.81</v>
      </c>
      <c r="K628" s="342">
        <f t="shared" ref="K628:K635" ca="1" si="129">IF(I628&gt;0,J628*100/I628,0)</f>
        <v>12.723734501561246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1">
        <f ca="1">IFERROR(__xludf.DUMMYFUNCTION("IMPORTRANGE(""https://docs.google.com/spreadsheets/d/1SX6NBoVAgQJ6U1MVXOaj8PK2l7WJ3RER9xtqwdhxkhw/edit?usp=sharing"",""ประจวบคีรีขันธ์!J524"")"),22)</f>
        <v>22</v>
      </c>
      <c r="K629" s="342">
        <f t="shared" ca="1" si="129"/>
        <v>15.172413793103448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1">
        <f ca="1">IFERROR(__xludf.DUMMYFUNCTION("IMPORTRANGE(""https://docs.google.com/spreadsheets/d/1SX6NBoVAgQJ6U1MVXOaj8PK2l7WJ3RER9xtqwdhxkhw/edit?usp=sharing"",""ประจวบคีรีขันธ์!J525"")"),36472)</f>
        <v>36472</v>
      </c>
      <c r="K630" s="342">
        <f t="shared" ca="1" si="129"/>
        <v>11.525156960427555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1">
        <f ca="1">IFERROR(__xludf.DUMMYFUNCTION("IMPORTRANGE(""https://docs.google.com/spreadsheets/d/1SX6NBoVAgQJ6U1MVXOaj8PK2l7WJ3RER9xtqwdhxkhw/edit?usp=sharing"",""ประจวบคีรีขันธ์!J526"")"),20)</f>
        <v>20</v>
      </c>
      <c r="K631" s="342">
        <f t="shared" ca="1" si="129"/>
        <v>90.909090909090907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1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2">
        <f t="shared" ca="1" si="129"/>
        <v>100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1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2">
        <f t="shared" ca="1" si="129"/>
        <v>100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1">
        <f ca="1">IFERROR(__xludf.DUMMYFUNCTION("IMPORTRANGE(""https://docs.google.com/spreadsheets/d/1SX6NBoVAgQJ6U1MVXOaj8PK2l7WJ3RER9xtqwdhxkhw/edit?usp=sharing"",""ประจวบคีรีขันธ์!J529"")"),0)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4">
        <f ca="1">IFERROR(__xludf.DUMMYFUNCTION("IMPORTRANGE(""https://docs.google.com/spreadsheets/d/1SX6NBoVAgQJ6U1MVXOaj8PK2l7WJ3RER9xtqwdhxkhw/edit?usp=sharing"",""ประจวบคีรีขันธ์!J530"")"),0)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258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3224601</v>
      </c>
      <c r="M8" s="23">
        <f t="shared" ca="1" si="0"/>
        <v>1412515</v>
      </c>
      <c r="N8" s="23">
        <f t="shared" ca="1" si="0"/>
        <v>1161661</v>
      </c>
      <c r="O8" s="22">
        <f t="shared" ref="O8:O16" ca="1" si="1">IF(L8&gt;0,N8*100/L8,0)</f>
        <v>36.024953164748133</v>
      </c>
      <c r="P8" s="22">
        <f t="shared" ref="P8:P16" ca="1" si="2">IF(M8&gt;0,N8*100/M8,0)</f>
        <v>82.240613374017272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3224601</v>
      </c>
      <c r="M10" s="30">
        <f t="shared" ca="1" si="4"/>
        <v>1412515</v>
      </c>
      <c r="N10" s="30">
        <f t="shared" ca="1" si="4"/>
        <v>1161661</v>
      </c>
      <c r="O10" s="29">
        <f t="shared" ca="1" si="1"/>
        <v>36.024953164748133</v>
      </c>
      <c r="P10" s="29">
        <f t="shared" ca="1" si="2"/>
        <v>82.240613374017272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3132201</v>
      </c>
      <c r="M12" s="38">
        <f t="shared" ca="1" si="6"/>
        <v>1320115</v>
      </c>
      <c r="N12" s="38">
        <f t="shared" ca="1" si="6"/>
        <v>1069261</v>
      </c>
      <c r="O12" s="38">
        <f t="shared" ca="1" si="1"/>
        <v>34.137687843149273</v>
      </c>
      <c r="P12" s="38">
        <f t="shared" ca="1" si="2"/>
        <v>80.997564606113855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1463201</v>
      </c>
      <c r="M14" s="38">
        <f t="shared" si="8"/>
        <v>0</v>
      </c>
      <c r="N14" s="38">
        <f t="shared" ca="1" si="8"/>
        <v>31756</v>
      </c>
      <c r="O14" s="38">
        <f t="shared" ca="1" si="1"/>
        <v>2.1703101624452144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2399775</v>
      </c>
      <c r="M18" s="23">
        <f t="shared" ca="1" si="11"/>
        <v>1412515</v>
      </c>
      <c r="N18" s="23">
        <f t="shared" ca="1" si="11"/>
        <v>1129905</v>
      </c>
      <c r="O18" s="22">
        <f t="shared" ref="O18:O20" ca="1" si="12">IF(L18&gt;0,N18*100/L18,0)</f>
        <v>47.083789105228618</v>
      </c>
      <c r="P18" s="22">
        <f t="shared" ref="P18:P26" ca="1" si="13">IF(M18&gt;0,N18*100/M18,0)</f>
        <v>79.99242485920503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2399775</v>
      </c>
      <c r="M20" s="30">
        <f t="shared" ca="1" si="15"/>
        <v>1412515</v>
      </c>
      <c r="N20" s="30">
        <f t="shared" ca="1" si="15"/>
        <v>1129905</v>
      </c>
      <c r="O20" s="29">
        <f t="shared" ca="1" si="12"/>
        <v>47.083789105228618</v>
      </c>
      <c r="P20" s="29">
        <f t="shared" ca="1" si="13"/>
        <v>79.99242485920503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2307375</v>
      </c>
      <c r="M22" s="41">
        <f t="shared" ca="1" si="18"/>
        <v>1320115</v>
      </c>
      <c r="N22" s="38">
        <f t="shared" ca="1" si="18"/>
        <v>1037505</v>
      </c>
      <c r="O22" s="38">
        <f t="shared" ca="1" si="17"/>
        <v>44.964732650739478</v>
      </c>
      <c r="P22" s="38">
        <f t="shared" ca="1" si="13"/>
        <v>78.592016604613988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638375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824826</v>
      </c>
      <c r="M28" s="23">
        <f t="shared" si="23"/>
        <v>0</v>
      </c>
      <c r="N28" s="23">
        <f t="shared" ca="1" si="23"/>
        <v>31756</v>
      </c>
      <c r="O28" s="22">
        <f t="shared" ref="O28:O30" ca="1" si="24">IF(L28&gt;0,N28*100/L28,0)</f>
        <v>3.8500241263005774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824826</v>
      </c>
      <c r="M30" s="30">
        <f t="shared" si="27"/>
        <v>0</v>
      </c>
      <c r="N30" s="30">
        <f t="shared" ca="1" si="27"/>
        <v>31756</v>
      </c>
      <c r="O30" s="29">
        <f t="shared" ca="1" si="24"/>
        <v>3.8500241263005774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824826</v>
      </c>
      <c r="M32" s="38">
        <f t="shared" si="30"/>
        <v>0</v>
      </c>
      <c r="N32" s="38">
        <f t="shared" ca="1" si="30"/>
        <v>31756</v>
      </c>
      <c r="O32" s="38">
        <f t="shared" ca="1" si="29"/>
        <v>3.8500241263005774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824826</v>
      </c>
      <c r="M34" s="38">
        <f t="shared" si="32"/>
        <v>0</v>
      </c>
      <c r="N34" s="38">
        <f t="shared" ca="1" si="32"/>
        <v>31756</v>
      </c>
      <c r="O34" s="38">
        <f t="shared" ca="1" si="29"/>
        <v>3.8500241263005774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2399775</v>
      </c>
      <c r="M37" s="54">
        <f t="shared" ca="1" si="33"/>
        <v>1412515</v>
      </c>
      <c r="N37" s="54">
        <f t="shared" ca="1" si="33"/>
        <v>1129905</v>
      </c>
      <c r="O37" s="55">
        <f t="shared" ca="1" si="29"/>
        <v>47.083789105228618</v>
      </c>
      <c r="P37" s="55">
        <f t="shared" ca="1" si="25"/>
        <v>79.99242485920503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170400</v>
      </c>
      <c r="N41" s="78">
        <f t="shared" ca="1" si="34"/>
        <v>137620</v>
      </c>
      <c r="O41" s="77">
        <f t="shared" ref="O41:O43" ca="1" si="35">IF(L41&gt;0,N41*100/L41,0)</f>
        <v>41.60217654171705</v>
      </c>
      <c r="P41" s="77">
        <f t="shared" ref="P41:P43" ca="1" si="36">IF(M41&gt;0,N41*100/M41,0)</f>
        <v>80.762910798122064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170400</v>
      </c>
      <c r="N43" s="78">
        <f t="shared" ca="1" si="38"/>
        <v>137620</v>
      </c>
      <c r="O43" s="77">
        <f t="shared" ca="1" si="35"/>
        <v>41.60217654171705</v>
      </c>
      <c r="P43" s="77">
        <f t="shared" ca="1" si="36"/>
        <v>80.762910798122064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IFERROR(__xludf.DUMMYFUNCTION("IMPORTRANGE(""https://docs.google.com/spreadsheets/d/1Yj_ptqi66GCucihVvJfMjLAmec39IyEx_6qawtMGysU/edit?usp=sharing"",""สบก!Q69"")"),170400)</f>
        <v>170400</v>
      </c>
      <c r="N45" s="49">
        <f ca="1">IFERROR(__xludf.DUMMYFUNCTION("IMPORTRANGE(""https://docs.google.com/spreadsheets/d/1Yj_ptqi66GCucihVvJfMjLAmec39IyEx_6qawtMGysU/edit?usp=sharing"",""สบก!R69"")"),137620)</f>
        <v>137620</v>
      </c>
      <c r="O45" s="38">
        <f ca="1">IF(L45&gt;0,N45*100/L45,0)</f>
        <v>41.60217654171705</v>
      </c>
      <c r="P45" s="38">
        <f ca="1">IF(M45&gt;0,N45*100/M45,0)</f>
        <v>80.762910798122064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229980</v>
      </c>
      <c r="N53" s="121">
        <f t="shared" ca="1" si="39"/>
        <v>138878</v>
      </c>
      <c r="O53" s="120">
        <f t="shared" ref="O53:O55" ca="1" si="40">IF(L53&gt;0,N53*100/L53,0)</f>
        <v>30.861777777777778</v>
      </c>
      <c r="P53" s="120">
        <f t="shared" ref="P53:P55" ca="1" si="41">IF(M53&gt;0,N53*100/M53,0)</f>
        <v>60.386990173058528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229980</v>
      </c>
      <c r="N55" s="121">
        <f t="shared" ca="1" si="43"/>
        <v>138878</v>
      </c>
      <c r="O55" s="120">
        <f t="shared" ca="1" si="40"/>
        <v>30.861777777777778</v>
      </c>
      <c r="P55" s="120">
        <f t="shared" ca="1" si="41"/>
        <v>60.386990173058528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IFERROR(__xludf.DUMMYFUNCTION("IMPORTRANGE(""https://docs.google.com/spreadsheets/d/1Yj_ptqi66GCucihVvJfMjLAmec39IyEx_6qawtMGysU/edit?usp=sharing"",""สบก!Z69"")"),229980)</f>
        <v>229980</v>
      </c>
      <c r="N57" s="49">
        <f ca="1">IFERROR(__xludf.DUMMYFUNCTION("IMPORTRANGE(""https://docs.google.com/spreadsheets/d/1Yj_ptqi66GCucihVvJfMjLAmec39IyEx_6qawtMGysU/edit?usp=sharing"",""สบก!AA69"")"),138878)</f>
        <v>138878</v>
      </c>
      <c r="O57" s="38">
        <f ca="1">IF(L57&gt;0,N57*100/L57,0)</f>
        <v>30.861777777777778</v>
      </c>
      <c r="P57" s="38">
        <f ca="1">IF(M57&gt;0,N57*100/M57,0)</f>
        <v>60.386990173058528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IFERROR(__xludf.DUMMYFUNCTION("IMPORTRANGE(""https://docs.google.com/spreadsheets/d/1Yj_ptqi66GCucihVvJfMjLAmec39IyEx_6qawtMGysU/edit?usp=sharing"",""สบก!AI69"")"),0)</f>
        <v>0</v>
      </c>
      <c r="N70" s="170">
        <f ca="1">IFERROR(__xludf.DUMMYFUNCTION("IMPORTRANGE(""https://docs.google.com/spreadsheets/d/1Yj_ptqi66GCucihVvJfMjLAmec39IyEx_6qawtMGysU/edit?usp=sharing"",""สบก!AJ69"")"),0)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IFERROR(__xludf.DUMMYFUNCTION("IMPORTRANGE(""https://docs.google.com/spreadsheets/d/1Yj_ptqi66GCucihVvJfMjLAmec39IyEx_6qawtMGysU/edit?usp=sharing"",""สบก!AE69"")"),0)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IFERROR(__xludf.DUMMYFUNCTION("IMPORTRANGE(""https://docs.google.com/spreadsheets/d/1Yj_ptqi66GCucihVvJfMjLAmec39IyEx_6qawtMGysU/edit?usp=sharing"",""สบก!AF69"")"),0)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IFERROR(__xludf.DUMMYFUNCTION("IMPORTRANGE(""https://docs.google.com/spreadsheets/d/1SX6NBoVAgQJ6U1MVXOaj8PK2l7WJ3RER9xtqwdhxkhw/edit?usp=sharing"",""ปราจีนบุรี!J16"")"),0)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IFERROR(__xludf.DUMMYFUNCTION("IMPORTRANGE(""https://docs.google.com/spreadsheets/d/1SX6NBoVAgQJ6U1MVXOaj8PK2l7WJ3RER9xtqwdhxkhw/edit?usp=sharing"",""ปราจีนบุรี!J17"")"),0)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IFERROR(__xludf.DUMMYFUNCTION("IMPORTRANGE(""https://docs.google.com/spreadsheets/d/1SX6NBoVAgQJ6U1MVXOaj8PK2l7WJ3RER9xtqwdhxkhw/edit?usp=sharing"",""ปราจีนบุรี!J18"")"),0)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IFERROR(__xludf.DUMMYFUNCTION("IMPORTRANGE(""https://docs.google.com/spreadsheets/d/1SX6NBoVAgQJ6U1MVXOaj8PK2l7WJ3RER9xtqwdhxkhw/edit?usp=sharing"",""ปราจีนบุรี!J19"")"),0)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IFERROR(__xludf.DUMMYFUNCTION("IMPORTRANGE(""https://docs.google.com/spreadsheets/d/1SX6NBoVAgQJ6U1MVXOaj8PK2l7WJ3RER9xtqwdhxkhw/edit?usp=sharing"",""ปราจีนบุรี!I20"")"),0)</f>
        <v>0</v>
      </c>
      <c r="J80" s="202">
        <f ca="1">IFERROR(__xludf.DUMMYFUNCTION("IMPORTRANGE(""https://docs.google.com/spreadsheets/d/1SX6NBoVAgQJ6U1MVXOaj8PK2l7WJ3RER9xtqwdhxkhw/edit?usp=sharing"",""ปราจีนบุรี!J20"")"),0)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IFERROR(__xludf.DUMMYFUNCTION("IMPORTRANGE(""https://docs.google.com/spreadsheets/d/1SX6NBoVAgQJ6U1MVXOaj8PK2l7WJ3RER9xtqwdhxkhw/edit?usp=sharing"",""ปราจีนบุรี!I21"")"),0)</f>
        <v>0</v>
      </c>
      <c r="J81" s="202">
        <f ca="1">IFERROR(__xludf.DUMMYFUNCTION("IMPORTRANGE(""https://docs.google.com/spreadsheets/d/1SX6NBoVAgQJ6U1MVXOaj8PK2l7WJ3RER9xtqwdhxkhw/edit?usp=sharing"",""ปราจีนบุรี!J21"")"),0)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IFERROR(__xludf.DUMMYFUNCTION("IMPORTRANGE(""https://docs.google.com/spreadsheets/d/1SX6NBoVAgQJ6U1MVXOaj8PK2l7WJ3RER9xtqwdhxkhw/edit?usp=sharing"",""ปราจีนบุรี!I22"")"),0)</f>
        <v>0</v>
      </c>
      <c r="J82" s="205">
        <f ca="1">IFERROR(__xludf.DUMMYFUNCTION("IMPORTRANGE(""https://docs.google.com/spreadsheets/d/1SX6NBoVAgQJ6U1MVXOaj8PK2l7WJ3RER9xtqwdhxkhw/edit?usp=sharing"",""ปราจีนบุรี!J22"")"),0)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IFERROR(__xludf.DUMMYFUNCTION("IMPORTRANGE(""https://docs.google.com/spreadsheets/d/1SX6NBoVAgQJ6U1MVXOaj8PK2l7WJ3RER9xtqwdhxkhw/edit?usp=sharing"",""ปราจีนบุรี!I23"")"),0)</f>
        <v>0</v>
      </c>
      <c r="J83" s="205">
        <f ca="1">IFERROR(__xludf.DUMMYFUNCTION("IMPORTRANGE(""https://docs.google.com/spreadsheets/d/1SX6NBoVAgQJ6U1MVXOaj8PK2l7WJ3RER9xtqwdhxkhw/edit?usp=sharing"",""ปราจีนบุรี!J23"")"),0)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IFERROR(__xludf.DUMMYFUNCTION("IMPORTRANGE(""https://docs.google.com/spreadsheets/d/1SX6NBoVAgQJ6U1MVXOaj8PK2l7WJ3RER9xtqwdhxkhw/edit?usp=sharing"",""ปราจีนบุรี!I24"")"),0)</f>
        <v>0</v>
      </c>
      <c r="J84" s="190">
        <f ca="1">IFERROR(__xludf.DUMMYFUNCTION("IMPORTRANGE(""https://docs.google.com/spreadsheets/d/1SX6NBoVAgQJ6U1MVXOaj8PK2l7WJ3RER9xtqwdhxkhw/edit?usp=sharing"",""ปราจีนบุรี!J24"")"),0)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IFERROR(__xludf.DUMMYFUNCTION("IMPORTRANGE(""https://docs.google.com/spreadsheets/d/1SX6NBoVAgQJ6U1MVXOaj8PK2l7WJ3RER9xtqwdhxkhw/edit?usp=sharing"",""ปราจีนบุรี!I25"")"),0)</f>
        <v>0</v>
      </c>
      <c r="J85" s="190">
        <f ca="1">IFERROR(__xludf.DUMMYFUNCTION("IMPORTRANGE(""https://docs.google.com/spreadsheets/d/1SX6NBoVAgQJ6U1MVXOaj8PK2l7WJ3RER9xtqwdhxkhw/edit?usp=sharing"",""ปราจีนบุรี!J25"")"),0)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IFERROR(__xludf.DUMMYFUNCTION("IMPORTRANGE(""https://docs.google.com/spreadsheets/d/1SX6NBoVAgQJ6U1MVXOaj8PK2l7WJ3RER9xtqwdhxkhw/edit?usp=sharing"",""ปราจีนบุรี!I26"")"),0)</f>
        <v>0</v>
      </c>
      <c r="J86" s="205">
        <f ca="1">IFERROR(__xludf.DUMMYFUNCTION("IMPORTRANGE(""https://docs.google.com/spreadsheets/d/1SX6NBoVAgQJ6U1MVXOaj8PK2l7WJ3RER9xtqwdhxkhw/edit?usp=sharing"",""ปราจีนบุรี!J26"")"),0)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IFERROR(__xludf.DUMMYFUNCTION("IMPORTRANGE(""https://docs.google.com/spreadsheets/d/1SX6NBoVAgQJ6U1MVXOaj8PK2l7WJ3RER9xtqwdhxkhw/edit?usp=sharing"",""ปราจีนบุรี!I27"")"),0)</f>
        <v>0</v>
      </c>
      <c r="J87" s="205">
        <f ca="1">IFERROR(__xludf.DUMMYFUNCTION("IMPORTRANGE(""https://docs.google.com/spreadsheets/d/1SX6NBoVAgQJ6U1MVXOaj8PK2l7WJ3RER9xtqwdhxkhw/edit?usp=sharing"",""ปราจีนบุรี!J27"")"),0)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IFERROR(__xludf.DUMMYFUNCTION("IMPORTRANGE(""https://docs.google.com/spreadsheets/d/1SX6NBoVAgQJ6U1MVXOaj8PK2l7WJ3RER9xtqwdhxkhw/edit?usp=sharing"",""ปราจีนบุรี!I28"")"),0)</f>
        <v>0</v>
      </c>
      <c r="J88" s="205">
        <f ca="1">IFERROR(__xludf.DUMMYFUNCTION("IMPORTRANGE(""https://docs.google.com/spreadsheets/d/1SX6NBoVAgQJ6U1MVXOaj8PK2l7WJ3RER9xtqwdhxkhw/edit?usp=sharing"",""ปราจีนบุรี!J28"")"),0)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IFERROR(__xludf.DUMMYFUNCTION("IMPORTRANGE(""https://docs.google.com/spreadsheets/d/1SX6NBoVAgQJ6U1MVXOaj8PK2l7WJ3RER9xtqwdhxkhw/edit?usp=sharing"",""ปราจีนบุรี!J29"")"),0)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146840</v>
      </c>
      <c r="O94" s="151">
        <f t="shared" ref="O94:O96" ca="1" si="53">IF(L94&gt;0,N94*100/L94,0)</f>
        <v>68.456876456876458</v>
      </c>
      <c r="P94" s="151">
        <f t="shared" ref="P94:P96" ca="1" si="54">IF(M94&gt;0,N94*100/M94,0)</f>
        <v>91.131384596288711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146840</v>
      </c>
      <c r="O96" s="156">
        <f t="shared" ca="1" si="53"/>
        <v>68.456876456876458</v>
      </c>
      <c r="P96" s="156">
        <f t="shared" ca="1" si="54"/>
        <v>91.131384596288711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IFERROR(__xludf.DUMMYFUNCTION("IMPORTRANGE(""https://docs.google.com/spreadsheets/d/1Yj_ptqi66GCucihVvJfMjLAmec39IyEx_6qawtMGysU/edit?usp=sharing"",""สบก!AR69"")"),68730)</f>
        <v>68730</v>
      </c>
      <c r="N98" s="170">
        <f ca="1">IFERROR(__xludf.DUMMYFUNCTION("IMPORTRANGE(""https://docs.google.com/spreadsheets/d/1Yj_ptqi66GCucihVvJfMjLAmec39IyEx_6qawtMGysU/edit?usp=sharing"",""สบก!AS69"")"),54440)</f>
        <v>54440</v>
      </c>
      <c r="O98" s="170">
        <f ca="1">IF(L98&gt;0,N98*100/L98,0)</f>
        <v>44.586404586404583</v>
      </c>
      <c r="P98" s="170">
        <f ca="1">IF(M98&gt;0,N98*100/M98,0)</f>
        <v>79.20849701731413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IFERROR(__xludf.DUMMYFUNCTION("IMPORTRANGE(""https://docs.google.com/spreadsheets/d/1Yj_ptqi66GCucihVvJfMjLAmec39IyEx_6qawtMGysU/edit?usp=sharing"",""สบก!AN69"")"),0)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IFERROR(__xludf.DUMMYFUNCTION("IMPORTRANGE(""https://docs.google.com/spreadsheets/d/1Yj_ptqi66GCucihVvJfMjLAmec39IyEx_6qawtMGysU/edit?usp=sharing"",""สบก!AO69"")"),122100)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IFERROR(__xludf.DUMMYFUNCTION("IMPORTRANGE(""https://docs.google.com/spreadsheets/d/1SX6NBoVAgQJ6U1MVXOaj8PK2l7WJ3RER9xtqwdhxkhw/edit?usp=sharing"",""ปราจีนบุรี!J39"")"),1)</f>
        <v>1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IFERROR(__xludf.DUMMYFUNCTION("IMPORTRANGE(""https://docs.google.com/spreadsheets/d/1SX6NBoVAgQJ6U1MVXOaj8PK2l7WJ3RER9xtqwdhxkhw/edit?usp=sharing"",""ปราจีนบุรี!J40"")"),0)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IFERROR(__xludf.DUMMYFUNCTION("IMPORTRANGE(""https://docs.google.com/spreadsheets/d/1SX6NBoVAgQJ6U1MVXOaj8PK2l7WJ3RER9xtqwdhxkhw/edit?usp=sharing"",""ปราจีนบุรี!J41"")"),0)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IFERROR(__xludf.DUMMYFUNCTION("IMPORTRANGE(""https://docs.google.com/spreadsheets/d/1SX6NBoVAgQJ6U1MVXOaj8PK2l7WJ3RER9xtqwdhxkhw/edit?usp=sharing"",""ปราจีนบุรี!J42"")"),0)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IFERROR(__xludf.DUMMYFUNCTION("IMPORTRANGE(""https://docs.google.com/spreadsheets/d/1SX6NBoVAgQJ6U1MVXOaj8PK2l7WJ3RER9xtqwdhxkhw/edit?usp=sharing"",""ปราจีนบุรี!I43"")"),1)</f>
        <v>1</v>
      </c>
      <c r="J108" s="205">
        <f ca="1">IFERROR(__xludf.DUMMYFUNCTION("IMPORTRANGE(""https://docs.google.com/spreadsheets/d/1SX6NBoVAgQJ6U1MVXOaj8PK2l7WJ3RER9xtqwdhxkhw/edit?usp=sharing"",""ปราจีนบุรี!J43"")"),0)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IFERROR(__xludf.DUMMYFUNCTION("IMPORTRANGE(""https://docs.google.com/spreadsheets/d/1SX6NBoVAgQJ6U1MVXOaj8PK2l7WJ3RER9xtqwdhxkhw/edit?usp=sharing"",""ปราจีนบุรี!I44"")"),4)</f>
        <v>4</v>
      </c>
      <c r="J109" s="205">
        <f ca="1">IFERROR(__xludf.DUMMYFUNCTION("IMPORTRANGE(""https://docs.google.com/spreadsheets/d/1SX6NBoVAgQJ6U1MVXOaj8PK2l7WJ3RER9xtqwdhxkhw/edit?usp=sharing"",""ปราจีนบุรี!J44"")"),0)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IFERROR(__xludf.DUMMYFUNCTION("IMPORTRANGE(""https://docs.google.com/spreadsheets/d/1SX6NBoVAgQJ6U1MVXOaj8PK2l7WJ3RER9xtqwdhxkhw/edit?usp=sharing"",""ปราจีนบุรี!I45"")"),4)</f>
        <v>4</v>
      </c>
      <c r="J110" s="205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IFERROR(__xludf.DUMMYFUNCTION("IMPORTRANGE(""https://docs.google.com/spreadsheets/d/1SX6NBoVAgQJ6U1MVXOaj8PK2l7WJ3RER9xtqwdhxkhw/edit?usp=sharing"",""ปราจีนบุรี!I46"")"),4)</f>
        <v>4</v>
      </c>
      <c r="J111" s="205">
        <f ca="1">IFERROR(__xludf.DUMMYFUNCTION("IMPORTRANGE(""https://docs.google.com/spreadsheets/d/1SX6NBoVAgQJ6U1MVXOaj8PK2l7WJ3RER9xtqwdhxkhw/edit?usp=sharing"",""ปราจีนบุรี!J46"")"),0)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IFERROR(__xludf.DUMMYFUNCTION("IMPORTRANGE(""https://docs.google.com/spreadsheets/d/1SX6NBoVAgQJ6U1MVXOaj8PK2l7WJ3RER9xtqwdhxkhw/edit?usp=sharing"",""ปราจีนบุรี!I47"")"),4)</f>
        <v>4</v>
      </c>
      <c r="J112" s="205">
        <f ca="1">IFERROR(__xludf.DUMMYFUNCTION("IMPORTRANGE(""https://docs.google.com/spreadsheets/d/1SX6NBoVAgQJ6U1MVXOaj8PK2l7WJ3RER9xtqwdhxkhw/edit?usp=sharing"",""ปราจีนบุรี!J47"")"),0)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IFERROR(__xludf.DUMMYFUNCTION("IMPORTRANGE(""https://docs.google.com/spreadsheets/d/1SX6NBoVAgQJ6U1MVXOaj8PK2l7WJ3RER9xtqwdhxkhw/edit?usp=sharing"",""ปราจีนบุรี!I48"")"),1)</f>
        <v>1</v>
      </c>
      <c r="J113" s="205">
        <f ca="1">IFERROR(__xludf.DUMMYFUNCTION("IMPORTRANGE(""https://docs.google.com/spreadsheets/d/1SX6NBoVAgQJ6U1MVXOaj8PK2l7WJ3RER9xtqwdhxkhw/edit?usp=sharing"",""ปราจีนบุรี!J48"")"),0)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IFERROR(__xludf.DUMMYFUNCTION("IMPORTRANGE(""https://docs.google.com/spreadsheets/d/1SX6NBoVAgQJ6U1MVXOaj8PK2l7WJ3RER9xtqwdhxkhw/edit?usp=sharing"",""ปราจีนบุรี!J50"")"),0)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IFERROR(__xludf.DUMMYFUNCTION("IMPORTRANGE(""https://docs.google.com/spreadsheets/d/1Yj_ptqi66GCucihVvJfMjLAmec39IyEx_6qawtMGysU/edit?usp=sharing"",""สบก!BA69"")"),0)</f>
        <v>0</v>
      </c>
      <c r="N122" s="170">
        <f ca="1">IFERROR(__xludf.DUMMYFUNCTION("IMPORTRANGE(""https://docs.google.com/spreadsheets/d/1Yj_ptqi66GCucihVvJfMjLAmec39IyEx_6qawtMGysU/edit?usp=sharing"",""สบก!BB69"")"),0)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IFERROR(__xludf.DUMMYFUNCTION("IMPORTRANGE(""https://docs.google.com/spreadsheets/d/1Yj_ptqi66GCucihVvJfMjLAmec39IyEx_6qawtMGysU/edit?usp=sharing"",""สบก!AW69"")"),0)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IFERROR(__xludf.DUMMYFUNCTION("IMPORTRANGE(""https://docs.google.com/spreadsheets/d/1Yj_ptqi66GCucihVvJfMjLAmec39IyEx_6qawtMGysU/edit?usp=sharing"",""สบก!AX69"")"),0)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259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IFERROR(__xludf.DUMMYFUNCTION("IMPORTRANGE(""https://docs.google.com/spreadsheets/d/1SX6NBoVAgQJ6U1MVXOaj8PK2l7WJ3RER9xtqwdhxkhw/edit?usp=sharing"",""ปราจีนบุรี!I62"")"),0)</f>
        <v>0</v>
      </c>
      <c r="J132" s="205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IFERROR(__xludf.DUMMYFUNCTION("IMPORTRANGE(""https://docs.google.com/spreadsheets/d/1SX6NBoVAgQJ6U1MVXOaj8PK2l7WJ3RER9xtqwdhxkhw/edit?usp=sharing"",""ปราจีนบุรี!I63"")"),0)</f>
        <v>0</v>
      </c>
      <c r="J133" s="205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431300</v>
      </c>
      <c r="M140" s="152">
        <f t="shared" ca="1" si="64"/>
        <v>259050</v>
      </c>
      <c r="N140" s="152">
        <f t="shared" ca="1" si="64"/>
        <v>237557</v>
      </c>
      <c r="O140" s="151">
        <f t="shared" ref="O140:O142" ca="1" si="65">IF(L140&gt;0,N140*100/L140,0)</f>
        <v>55.079295154185019</v>
      </c>
      <c r="P140" s="151">
        <f t="shared" ref="P140:P142" ca="1" si="66">IF(M140&gt;0,N140*100/M140,0)</f>
        <v>91.703146110789419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431300</v>
      </c>
      <c r="M142" s="157">
        <f t="shared" ca="1" si="68"/>
        <v>259050</v>
      </c>
      <c r="N142" s="157">
        <f t="shared" ca="1" si="68"/>
        <v>237557</v>
      </c>
      <c r="O142" s="156">
        <f t="shared" ca="1" si="65"/>
        <v>55.079295154185019</v>
      </c>
      <c r="P142" s="156">
        <f t="shared" ca="1" si="66"/>
        <v>91.703146110789419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431300</v>
      </c>
      <c r="M144" s="169">
        <f ca="1">IFERROR(__xludf.DUMMYFUNCTION("IMPORTRANGE(""https://docs.google.com/spreadsheets/d/1Yj_ptqi66GCucihVvJfMjLAmec39IyEx_6qawtMGysU/edit?usp=sharing"",""สบก!BJ69"")"),259050)</f>
        <v>259050</v>
      </c>
      <c r="N144" s="170">
        <f ca="1">IFERROR(__xludf.DUMMYFUNCTION("IMPORTRANGE(""https://docs.google.com/spreadsheets/d/1Yj_ptqi66GCucihVvJfMjLAmec39IyEx_6qawtMGysU/edit?usp=sharing"",""สบก!BK69"")"),237557)</f>
        <v>237557</v>
      </c>
      <c r="O144" s="170">
        <f ca="1">IF(L144&gt;0,N144*100/L144,0)</f>
        <v>55.079295154185019</v>
      </c>
      <c r="P144" s="170">
        <f ca="1">IF(M144&gt;0,N144*100/M144,0)</f>
        <v>91.703146110789419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IFERROR(__xludf.DUMMYFUNCTION("IMPORTRANGE(""https://docs.google.com/spreadsheets/d/1Yj_ptqi66GCucihVvJfMjLAmec39IyEx_6qawtMGysU/edit?usp=sharing"",""สบก!BF69"")"),305000)</f>
        <v>305000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IFERROR(__xludf.DUMMYFUNCTION("IMPORTRANGE(""https://docs.google.com/spreadsheets/d/1Yj_ptqi66GCucihVvJfMjLAmec39IyEx_6qawtMGysU/edit?usp=sharing"",""สบก!BG69"")"),126300)</f>
        <v>126300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IFERROR(__xludf.DUMMYFUNCTION("IMPORTRANGE(""https://docs.google.com/spreadsheets/d/1SX6NBoVAgQJ6U1MVXOaj8PK2l7WJ3RER9xtqwdhxkhw/edit?usp=sharing"",""ปราจีนบุรี!J79"")"),0)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IFERROR(__xludf.DUMMYFUNCTION("IMPORTRANGE(""https://docs.google.com/spreadsheets/d/1SX6NBoVAgQJ6U1MVXOaj8PK2l7WJ3RER9xtqwdhxkhw/edit?usp=sharing"",""ปราจีนบุรี!J80"")"),0)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IFERROR(__xludf.DUMMYFUNCTION("IMPORTRANGE(""https://docs.google.com/spreadsheets/d/1SX6NBoVAgQJ6U1MVXOaj8PK2l7WJ3RER9xtqwdhxkhw/edit?usp=sharing"",""ปราจีนบุรี!J81"")"),0)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IFERROR(__xludf.DUMMYFUNCTION("IMPORTRANGE(""https://docs.google.com/spreadsheets/d/1SX6NBoVAgQJ6U1MVXOaj8PK2l7WJ3RER9xtqwdhxkhw/edit?usp=sharing"",""ปราจีนบุรี!J82"")"),0)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IFERROR(__xludf.DUMMYFUNCTION("IMPORTRANGE(""https://docs.google.com/spreadsheets/d/1SX6NBoVAgQJ6U1MVXOaj8PK2l7WJ3RER9xtqwdhxkhw/edit?usp=sharing"",""ปราจีนบุรี!I83"")"),4)</f>
        <v>4</v>
      </c>
      <c r="J158" s="190">
        <f ca="1">IFERROR(__xludf.DUMMYFUNCTION("IMPORTRANGE(""https://docs.google.com/spreadsheets/d/1SX6NBoVAgQJ6U1MVXOaj8PK2l7WJ3RER9xtqwdhxkhw/edit?usp=sharing"",""ปราจีนบุรี!J83"")"),0)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IFERROR(__xludf.DUMMYFUNCTION("IMPORTRANGE(""https://docs.google.com/spreadsheets/d/1SX6NBoVAgQJ6U1MVXOaj8PK2l7WJ3RER9xtqwdhxkhw/edit?usp=sharing"",""ปราจีนบุรี!J84"")"),0)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IFERROR(__xludf.DUMMYFUNCTION("IMPORTRANGE(""https://docs.google.com/spreadsheets/d/1SX6NBoVAgQJ6U1MVXOaj8PK2l7WJ3RER9xtqwdhxkhw/edit?usp=sharing"",""ปราจีนบุรี!J85"")"),0)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IFERROR(__xludf.DUMMYFUNCTION("IMPORTRANGE(""https://docs.google.com/spreadsheets/d/1SX6NBoVAgQJ6U1MVXOaj8PK2l7WJ3RER9xtqwdhxkhw/edit?usp=sharing"",""ปราจีนบุรี!J86"")"),0)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IFERROR(__xludf.DUMMYFUNCTION("IMPORTRANGE(""https://docs.google.com/spreadsheets/d/1SX6NBoVAgQJ6U1MVXOaj8PK2l7WJ3RER9xtqwdhxkhw/edit?usp=sharing"",""ปราจีนบุรี!J87"")"),0)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IFERROR(__xludf.DUMMYFUNCTION("IMPORTRANGE(""https://docs.google.com/spreadsheets/d/1SX6NBoVAgQJ6U1MVXOaj8PK2l7WJ3RER9xtqwdhxkhw/edit?usp=sharing"",""ปราจีนบุรี!J88"")"),0)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IFERROR(__xludf.DUMMYFUNCTION("IMPORTRANGE(""https://docs.google.com/spreadsheets/d/1SX6NBoVAgQJ6U1MVXOaj8PK2l7WJ3RER9xtqwdhxkhw/edit?usp=sharing"",""ปราจีนบุรี!I89"")"),3)</f>
        <v>3</v>
      </c>
      <c r="J164" s="284">
        <f ca="1">IFERROR(__xludf.DUMMYFUNCTION("IMPORTRANGE(""https://docs.google.com/spreadsheets/d/1SX6NBoVAgQJ6U1MVXOaj8PK2l7WJ3RER9xtqwdhxkhw/edit?usp=sharing"",""ปราจีนบุรี!J89"")"),3)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IFERROR(__xludf.DUMMYFUNCTION("IMPORTRANGE(""https://docs.google.com/spreadsheets/d/1SX6NBoVAgQJ6U1MVXOaj8PK2l7WJ3RER9xtqwdhxkhw/edit?usp=sharing"",""ปราจีนบุรี!J94"")"),0)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IFERROR(__xludf.DUMMYFUNCTION("IMPORTRANGE(""https://docs.google.com/spreadsheets/d/1SX6NBoVAgQJ6U1MVXOaj8PK2l7WJ3RER9xtqwdhxkhw/edit?usp=sharing"",""ปราจีนบุรี!J95"")"),0)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IFERROR(__xludf.DUMMYFUNCTION("IMPORTRANGE(""https://docs.google.com/spreadsheets/d/1SX6NBoVAgQJ6U1MVXOaj8PK2l7WJ3RER9xtqwdhxkhw/edit?usp=sharing"",""ปราจีนบุรี!J96"")"),1)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IFERROR(__xludf.DUMMYFUNCTION("IMPORTRANGE(""https://docs.google.com/spreadsheets/d/1SX6NBoVAgQJ6U1MVXOaj8PK2l7WJ3RER9xtqwdhxkhw/edit?usp=sharing"",""ปราจีนบุรี!J97"")"),0)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IFERROR(__xludf.DUMMYFUNCTION("IMPORTRANGE(""https://docs.google.com/spreadsheets/d/1SX6NBoVAgQJ6U1MVXOaj8PK2l7WJ3RER9xtqwdhxkhw/edit?usp=sharing"",""ปราจีนบุรี!I98"")"),3)</f>
        <v>3</v>
      </c>
      <c r="J173" s="190">
        <f ca="1">IFERROR(__xludf.DUMMYFUNCTION("IMPORTRANGE(""https://docs.google.com/spreadsheets/d/1SX6NBoVAgQJ6U1MVXOaj8PK2l7WJ3RER9xtqwdhxkhw/edit?usp=sharing"",""ปราจีนบุรี!J98"")"),3)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IFERROR(__xludf.DUMMYFUNCTION("IMPORTRANGE(""https://docs.google.com/spreadsheets/d/1SX6NBoVAgQJ6U1MVXOaj8PK2l7WJ3RER9xtqwdhxkhw/edit?usp=sharing"",""ปราจีนบุรี!J99"")"),0)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IFERROR(__xludf.DUMMYFUNCTION("IMPORTRANGE(""https://docs.google.com/spreadsheets/d/1SX6NBoVAgQJ6U1MVXOaj8PK2l7WJ3RER9xtqwdhxkhw/edit?usp=sharing"",""ปราจีนบุรี!J100"")"),0)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IFERROR(__xludf.DUMMYFUNCTION("IMPORTRANGE(""https://docs.google.com/spreadsheets/d/1SX6NBoVAgQJ6U1MVXOaj8PK2l7WJ3RER9xtqwdhxkhw/edit?usp=sharing"",""ปราจีนบุรี!I101"")"),0)</f>
        <v>0</v>
      </c>
      <c r="J176" s="284">
        <f ca="1">IFERROR(__xludf.DUMMYFUNCTION("IMPORTRANGE(""https://docs.google.com/spreadsheets/d/1SX6NBoVAgQJ6U1MVXOaj8PK2l7WJ3RER9xtqwdhxkhw/edit?usp=sharing"",""ปราจีนบุรี!J101"")"),0)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IFERROR(__xludf.DUMMYFUNCTION("IMPORTRANGE(""https://docs.google.com/spreadsheets/d/1SX6NBoVAgQJ6U1MVXOaj8PK2l7WJ3RER9xtqwdhxkhw/edit?usp=sharing"",""ปราจีนบุรี!I110"")"),0)</f>
        <v>0</v>
      </c>
      <c r="J185" s="205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IFERROR(__xludf.DUMMYFUNCTION("IMPORTRANGE(""https://docs.google.com/spreadsheets/d/1SX6NBoVAgQJ6U1MVXOaj8PK2l7WJ3RER9xtqwdhxkhw/edit?usp=sharing"",""ปราจีนบุรี!I111"")"),0)</f>
        <v>0</v>
      </c>
      <c r="J186" s="205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IFERROR(__xludf.DUMMYFUNCTION("IMPORTRANGE(""https://docs.google.com/spreadsheets/d/1SX6NBoVAgQJ6U1MVXOaj8PK2l7WJ3RER9xtqwdhxkhw/edit?usp=sharing"",""ปราจีนบุรี!I114"")"),20000)</f>
        <v>20000</v>
      </c>
      <c r="J189" s="284">
        <f ca="1">IFERROR(__xludf.DUMMYFUNCTION("IMPORTRANGE(""https://docs.google.com/spreadsheets/d/1SX6NBoVAgQJ6U1MVXOaj8PK2l7WJ3RER9xtqwdhxkhw/edit?usp=sharing"",""ปราจีนบุรี!J114"")"),0)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IFERROR(__xludf.DUMMYFUNCTION("IMPORTRANGE(""https://docs.google.com/spreadsheets/d/1SX6NBoVAgQJ6U1MVXOaj8PK2l7WJ3RER9xtqwdhxkhw/edit?usp=sharing"",""ปราจีนบุรี!J119"")"),1)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IFERROR(__xludf.DUMMYFUNCTION("IMPORTRANGE(""https://docs.google.com/spreadsheets/d/1SX6NBoVAgQJ6U1MVXOaj8PK2l7WJ3RER9xtqwdhxkhw/edit?usp=sharing"",""ปราจีนบุรี!J120"")"),0)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IFERROR(__xludf.DUMMYFUNCTION("IMPORTRANGE(""https://docs.google.com/spreadsheets/d/1SX6NBoVAgQJ6U1MVXOaj8PK2l7WJ3RER9xtqwdhxkhw/edit?usp=sharing"",""ปราจีนบุรี!J121"")"),0)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IFERROR(__xludf.DUMMYFUNCTION("IMPORTRANGE(""https://docs.google.com/spreadsheets/d/1SX6NBoVAgQJ6U1MVXOaj8PK2l7WJ3RER9xtqwdhxkhw/edit?usp=sharing"",""ปราจีนบุรี!J122"")"),0)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IFERROR(__xludf.DUMMYFUNCTION("IMPORTRANGE(""https://docs.google.com/spreadsheets/d/1SX6NBoVAgQJ6U1MVXOaj8PK2l7WJ3RER9xtqwdhxkhw/edit?usp=sharing"",""ปราจีนบุรี!I124"")"),20000)</f>
        <v>20000</v>
      </c>
      <c r="J199" s="190">
        <f ca="1">IFERROR(__xludf.DUMMYFUNCTION("IMPORTRANGE(""https://docs.google.com/spreadsheets/d/1SX6NBoVAgQJ6U1MVXOaj8PK2l7WJ3RER9xtqwdhxkhw/edit?usp=sharing"",""ปราจีนบุรี!J124"")"),0)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IFERROR(__xludf.DUMMYFUNCTION("IMPORTRANGE(""https://docs.google.com/spreadsheets/d/1SX6NBoVAgQJ6U1MVXOaj8PK2l7WJ3RER9xtqwdhxkhw/edit?usp=sharing"",""ปราจีนบุรี!I125"")"),20000)</f>
        <v>20000</v>
      </c>
      <c r="J200" s="190">
        <f ca="1">IFERROR(__xludf.DUMMYFUNCTION("IMPORTRANGE(""https://docs.google.com/spreadsheets/d/1SX6NBoVAgQJ6U1MVXOaj8PK2l7WJ3RER9xtqwdhxkhw/edit?usp=sharing"",""ปราจีนบุรี!J125"")"),0)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IFERROR(__xludf.DUMMYFUNCTION("IMPORTRANGE(""https://docs.google.com/spreadsheets/d/1SX6NBoVAgQJ6U1MVXOaj8PK2l7WJ3RER9xtqwdhxkhw/edit?usp=sharing"",""ปราจีนบุรี!I126"")"),0)</f>
        <v>0</v>
      </c>
      <c r="J201" s="190">
        <f ca="1">IFERROR(__xludf.DUMMYFUNCTION("IMPORTRANGE(""https://docs.google.com/spreadsheets/d/1SX6NBoVAgQJ6U1MVXOaj8PK2l7WJ3RER9xtqwdhxkhw/edit?usp=sharing"",""ปราจีนบุรี!J126"")"),0)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IFERROR(__xludf.DUMMYFUNCTION("IMPORTRANGE(""https://docs.google.com/spreadsheets/d/1SX6NBoVAgQJ6U1MVXOaj8PK2l7WJ3RER9xtqwdhxkhw/edit?usp=sharing"",""ปราจีนบุรี!J127"")"),0)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IFERROR(__xludf.DUMMYFUNCTION("IMPORTRANGE(""https://docs.google.com/spreadsheets/d/1SX6NBoVAgQJ6U1MVXOaj8PK2l7WJ3RER9xtqwdhxkhw/edit?usp=sharing"",""ปราจีนบุรี!J128"")"),0)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IFERROR(__xludf.DUMMYFUNCTION("IMPORTRANGE(""https://docs.google.com/spreadsheets/d/1SX6NBoVAgQJ6U1MVXOaj8PK2l7WJ3RER9xtqwdhxkhw/edit?usp=sharing"",""ปราจีนบุรี!I129"")"),20)</f>
        <v>20</v>
      </c>
      <c r="J204" s="284">
        <f ca="1">IFERROR(__xludf.DUMMYFUNCTION("IMPORTRANGE(""https://docs.google.com/spreadsheets/d/1SX6NBoVAgQJ6U1MVXOaj8PK2l7WJ3RER9xtqwdhxkhw/edit?usp=sharing"",""ปราจีนบุรี!J129"")"),20)</f>
        <v>20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IFERROR(__xludf.DUMMYFUNCTION("IMPORTRANGE(""https://docs.google.com/spreadsheets/d/1SX6NBoVAgQJ6U1MVXOaj8PK2l7WJ3RER9xtqwdhxkhw/edit?usp=sharing"",""ปราจีนบุรี!J135"")"),0)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IFERROR(__xludf.DUMMYFUNCTION("IMPORTRANGE(""https://docs.google.com/spreadsheets/d/1SX6NBoVAgQJ6U1MVXOaj8PK2l7WJ3RER9xtqwdhxkhw/edit?usp=sharing"",""ปราจีนบุรี!J136"")"),1)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IFERROR(__xludf.DUMMYFUNCTION("IMPORTRANGE(""https://docs.google.com/spreadsheets/d/1SX6NBoVAgQJ6U1MVXOaj8PK2l7WJ3RER9xtqwdhxkhw/edit?usp=sharing"",""ปราจีนบุรี!J137"")"),0)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IFERROR(__xludf.DUMMYFUNCTION("IMPORTRANGE(""https://docs.google.com/spreadsheets/d/1SX6NBoVAgQJ6U1MVXOaj8PK2l7WJ3RER9xtqwdhxkhw/edit?usp=sharing"",""ปราจีนบุรี!I138"")"),20)</f>
        <v>20</v>
      </c>
      <c r="J213" s="205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IFERROR(__xludf.DUMMYFUNCTION("IMPORTRANGE(""https://docs.google.com/spreadsheets/d/1SX6NBoVAgQJ6U1MVXOaj8PK2l7WJ3RER9xtqwdhxkhw/edit?usp=sharing"",""ปราจีนบุรี!I140"")"),0)</f>
        <v>0</v>
      </c>
      <c r="J215" s="205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IFERROR(__xludf.DUMMYFUNCTION("IMPORTRANGE(""https://docs.google.com/spreadsheets/d/1SX6NBoVAgQJ6U1MVXOaj8PK2l7WJ3RER9xtqwdhxkhw/edit?usp=sharing"",""ปราจีนบุรี!I141"")"),1)</f>
        <v>1</v>
      </c>
      <c r="J216" s="205">
        <f ca="1">IFERROR(__xludf.DUMMYFUNCTION("IMPORTRANGE(""https://docs.google.com/spreadsheets/d/1SX6NBoVAgQJ6U1MVXOaj8PK2l7WJ3RER9xtqwdhxkhw/edit?usp=sharing"",""ปราจีนบุรี!J141"")"),0)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IFERROR(__xludf.DUMMYFUNCTION("IMPORTRANGE(""https://docs.google.com/spreadsheets/d/1Yj_ptqi66GCucihVvJfMjLAmec39IyEx_6qawtMGysU/edit?usp=sharing"",""สบก!BS69"")"),21125)</f>
        <v>21125</v>
      </c>
      <c r="N224" s="170">
        <f ca="1">IFERROR(__xludf.DUMMYFUNCTION("IMPORTRANGE(""https://docs.google.com/spreadsheets/d/1Yj_ptqi66GCucihVvJfMjLAmec39IyEx_6qawtMGysU/edit?usp=sharing"",""สบก!BT69"")"),21125)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IFERROR(__xludf.DUMMYFUNCTION("IMPORTRANGE(""https://docs.google.com/spreadsheets/d/1Yj_ptqi66GCucihVvJfMjLAmec39IyEx_6qawtMGysU/edit?usp=sharing"",""สบก!BO69"")"),0)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IFERROR(__xludf.DUMMYFUNCTION("IMPORTRANGE(""https://docs.google.com/spreadsheets/d/1Yj_ptqi66GCucihVvJfMjLAmec39IyEx_6qawtMGysU/edit?usp=sharing"",""สบก!BP69"")"),21125)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IFERROR(__xludf.DUMMYFUNCTION("IMPORTRANGE(""https://docs.google.com/spreadsheets/d/1SX6NBoVAgQJ6U1MVXOaj8PK2l7WJ3RER9xtqwdhxkhw/edit?usp=sharing"",""ปราจีนบุรี!J151"")"),0)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IFERROR(__xludf.DUMMYFUNCTION("IMPORTRANGE(""https://docs.google.com/spreadsheets/d/1SX6NBoVAgQJ6U1MVXOaj8PK2l7WJ3RER9xtqwdhxkhw/edit?usp=sharing"",""ปราจีนบุรี!J152"")"),0)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IFERROR(__xludf.DUMMYFUNCTION("IMPORTRANGE(""https://docs.google.com/spreadsheets/d/1SX6NBoVAgQJ6U1MVXOaj8PK2l7WJ3RER9xtqwdhxkhw/edit?usp=sharing"",""ปราจีนบุรี!J153"")"),1)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IFERROR(__xludf.DUMMYFUNCTION("IMPORTRANGE(""https://docs.google.com/spreadsheets/d/1SX6NBoVAgQJ6U1MVXOaj8PK2l7WJ3RER9xtqwdhxkhw/edit?usp=sharing"",""ปราจีนบุรี!J154"")"),0)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IFERROR(__xludf.DUMMYFUNCTION("IMPORTRANGE(""https://docs.google.com/spreadsheets/d/1SX6NBoVAgQJ6U1MVXOaj8PK2l7WJ3RER9xtqwdhxkhw/edit?usp=sharing"",""ปราจีนบุรี!I155"")"),15)</f>
        <v>15</v>
      </c>
      <c r="J235" s="190">
        <f ca="1">IFERROR(__xludf.DUMMYFUNCTION("IMPORTRANGE(""https://docs.google.com/spreadsheets/d/1SX6NBoVAgQJ6U1MVXOaj8PK2l7WJ3RER9xtqwdhxkhw/edit?usp=sharing"",""ปราจีนบุรี!J155"")"),15)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IFERROR(__xludf.DUMMYFUNCTION("IMPORTRANGE(""https://docs.google.com/spreadsheets/d/1SX6NBoVAgQJ6U1MVXOaj8PK2l7WJ3RER9xtqwdhxkhw/edit?usp=sharing"",""ปราจีนบุรี!J156"")"),0)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IFERROR(__xludf.DUMMYFUNCTION("IMPORTRANGE(""https://docs.google.com/spreadsheets/d/1SX6NBoVAgQJ6U1MVXOaj8PK2l7WJ3RER9xtqwdhxkhw/edit?usp=sharing"",""ปราจีนบุรี!J157"")"),0)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IFERROR(__xludf.DUMMYFUNCTION("IMPORTRANGE(""https://docs.google.com/spreadsheets/d/1SX6NBoVAgQJ6U1MVXOaj8PK2l7WJ3RER9xtqwdhxkhw/edit?usp=sharing"",""ปราจีนบุรี!J159"")"),"")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IFERROR(__xludf.DUMMYFUNCTION("IMPORTRANGE(""https://docs.google.com/spreadsheets/d/1SX6NBoVAgQJ6U1MVXOaj8PK2l7WJ3RER9xtqwdhxkhw/edit?usp=sharing"",""ปราจีนบุรี!J161"")"),0)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IFERROR(__xludf.DUMMYFUNCTION("IMPORTRANGE(""https://docs.google.com/spreadsheets/d/1SX6NBoVAgQJ6U1MVXOaj8PK2l7WJ3RER9xtqwdhxkhw/edit?usp=sharing"",""ปราจีนบุรี!J162"")"),0)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IFERROR(__xludf.DUMMYFUNCTION("IMPORTRANGE(""https://docs.google.com/spreadsheets/d/1SX6NBoVAgQJ6U1MVXOaj8PK2l7WJ3RER9xtqwdhxkhw/edit?usp=sharing"",""ปราจีนบุรี!J163"")"),0)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IFERROR(__xludf.DUMMYFUNCTION("IMPORTRANGE(""https://docs.google.com/spreadsheets/d/1SX6NBoVAgQJ6U1MVXOaj8PK2l7WJ3RER9xtqwdhxkhw/edit?usp=sharing"",""ปราจีนบุรี!I164"")"),0)</f>
        <v>0</v>
      </c>
      <c r="J244" s="189">
        <f ca="1">IFERROR(__xludf.DUMMYFUNCTION("IMPORTRANGE(""https://docs.google.com/spreadsheets/d/1SX6NBoVAgQJ6U1MVXOaj8PK2l7WJ3RER9xtqwdhxkhw/edit?usp=sharing"",""ปราจีนบุรี!J164"")"),0)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IFERROR(__xludf.DUMMYFUNCTION("IMPORTRANGE(""https://docs.google.com/spreadsheets/d/1SX6NBoVAgQJ6U1MVXOaj8PK2l7WJ3RER9xtqwdhxkhw/edit?usp=sharing"",""ปราจีนบุรี!J165"")"),0)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IFERROR(__xludf.DUMMYFUNCTION("IMPORTRANGE(""https://docs.google.com/spreadsheets/d/1SX6NBoVAgQJ6U1MVXOaj8PK2l7WJ3RER9xtqwdhxkhw/edit?usp=sharing"",""ปราจีนบุรี!I169"")"),20)</f>
        <v>20</v>
      </c>
      <c r="J249" s="316">
        <f ca="1">IFERROR(__xludf.DUMMYFUNCTION("IMPORTRANGE(""https://docs.google.com/spreadsheets/d/1SX6NBoVAgQJ6U1MVXOaj8PK2l7WJ3RER9xtqwdhxkhw/edit?usp=sharing"",""ปราจีนบุรี!J169"")"),20)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28900</v>
      </c>
      <c r="O250" s="151">
        <f t="shared" ref="O250:O252" ca="1" si="78">IF(L250&gt;0,N250*100/L250,0)</f>
        <v>40.476190476190474</v>
      </c>
      <c r="P250" s="151">
        <f t="shared" ref="P250:P252" ca="1" si="79">IF(M250&gt;0,N250*100/M250,0)</f>
        <v>78.108108108108112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28900</v>
      </c>
      <c r="O252" s="156">
        <f t="shared" ca="1" si="78"/>
        <v>40.476190476190474</v>
      </c>
      <c r="P252" s="156">
        <f t="shared" ca="1" si="79"/>
        <v>78.108108108108112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IFERROR(__xludf.DUMMYFUNCTION("IMPORTRANGE(""https://docs.google.com/spreadsheets/d/1Yj_ptqi66GCucihVvJfMjLAmec39IyEx_6qawtMGysU/edit?usp=sharing"",""สบก!CB69"")"),37000)</f>
        <v>37000</v>
      </c>
      <c r="N254" s="170">
        <f ca="1">IFERROR(__xludf.DUMMYFUNCTION("IMPORTRANGE(""https://docs.google.com/spreadsheets/d/1Yj_ptqi66GCucihVvJfMjLAmec39IyEx_6qawtMGysU/edit?usp=sharing"",""สบก!CC69"")"),28900)</f>
        <v>28900</v>
      </c>
      <c r="O254" s="170">
        <f ca="1">IF(L254&gt;0,N254*100/L254,0)</f>
        <v>40.476190476190474</v>
      </c>
      <c r="P254" s="170">
        <f ca="1">IF(M254&gt;0,N254*100/M254,0)</f>
        <v>78.108108108108112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IFERROR(__xludf.DUMMYFUNCTION("IMPORTRANGE(""https://docs.google.com/spreadsheets/d/1Yj_ptqi66GCucihVvJfMjLAmec39IyEx_6qawtMGysU/edit?usp=sharing"",""สบก!BX69"")"),0)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IFERROR(__xludf.DUMMYFUNCTION("IMPORTRANGE(""https://docs.google.com/spreadsheets/d/1Yj_ptqi66GCucihVvJfMjLAmec39IyEx_6qawtMGysU/edit?usp=sharing"",""สบก!BY69"")"),71400)</f>
        <v>71400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IFERROR(__xludf.DUMMYFUNCTION("IMPORTRANGE(""https://docs.google.com/spreadsheets/d/1SX6NBoVAgQJ6U1MVXOaj8PK2l7WJ3RER9xtqwdhxkhw/edit?usp=sharing"",""ปราจีนบุรี!J175"")"),0)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IFERROR(__xludf.DUMMYFUNCTION("IMPORTRANGE(""https://docs.google.com/spreadsheets/d/1SX6NBoVAgQJ6U1MVXOaj8PK2l7WJ3RER9xtqwdhxkhw/edit?usp=sharing"",""ปราจีนบุรี!J176"")"),1)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IFERROR(__xludf.DUMMYFUNCTION("IMPORTRANGE(""https://docs.google.com/spreadsheets/d/1SX6NBoVAgQJ6U1MVXOaj8PK2l7WJ3RER9xtqwdhxkhw/edit?usp=sharing"",""ปราจีนบุรี!J177"")"),1)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IFERROR(__xludf.DUMMYFUNCTION("IMPORTRANGE(""https://docs.google.com/spreadsheets/d/1SX6NBoVAgQJ6U1MVXOaj8PK2l7WJ3RER9xtqwdhxkhw/edit?usp=sharing"",""ปราจีนบุรี!J178"")"),0)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IFERROR(__xludf.DUMMYFUNCTION("IMPORTRANGE(""https://docs.google.com/spreadsheets/d/1SX6NBoVAgQJ6U1MVXOaj8PK2l7WJ3RER9xtqwdhxkhw/edit?usp=sharing"",""ปราจีนบุรี!I179"")"),1)</f>
        <v>1</v>
      </c>
      <c r="J264" s="190">
        <f ca="1">IFERROR(__xludf.DUMMYFUNCTION("IMPORTRANGE(""https://docs.google.com/spreadsheets/d/1SX6NBoVAgQJ6U1MVXOaj8PK2l7WJ3RER9xtqwdhxkhw/edit?usp=sharing"",""ปราจีนบุรี!J179"")"),1)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IFERROR(__xludf.DUMMYFUNCTION("IMPORTRANGE(""https://docs.google.com/spreadsheets/d/1SX6NBoVAgQJ6U1MVXOaj8PK2l7WJ3RER9xtqwdhxkhw/edit?usp=sharing"",""ปราจีนบุรี!I180"")"),20)</f>
        <v>20</v>
      </c>
      <c r="J265" s="190">
        <f ca="1">IFERROR(__xludf.DUMMYFUNCTION("IMPORTRANGE(""https://docs.google.com/spreadsheets/d/1SX6NBoVAgQJ6U1MVXOaj8PK2l7WJ3RER9xtqwdhxkhw/edit?usp=sharing"",""ปราจีนบุรี!J180"")"),20)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IFERROR(__xludf.DUMMYFUNCTION("IMPORTRANGE(""https://docs.google.com/spreadsheets/d/1SX6NBoVAgQJ6U1MVXOaj8PK2l7WJ3RER9xtqwdhxkhw/edit?usp=sharing"",""ปราจีนบุรี!I181"")"),20)</f>
        <v>20</v>
      </c>
      <c r="J266" s="190">
        <f ca="1">IFERROR(__xludf.DUMMYFUNCTION("IMPORTRANGE(""https://docs.google.com/spreadsheets/d/1SX6NBoVAgQJ6U1MVXOaj8PK2l7WJ3RER9xtqwdhxkhw/edit?usp=sharing"",""ปราจีนบุรี!J181"")"),0)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IFERROR(__xludf.DUMMYFUNCTION("IMPORTRANGE(""https://docs.google.com/spreadsheets/d/1SX6NBoVAgQJ6U1MVXOaj8PK2l7WJ3RER9xtqwdhxkhw/edit?usp=sharing"",""ปราจีนบุรี!I182"")"),1)</f>
        <v>1</v>
      </c>
      <c r="J267" s="190">
        <f ca="1">IFERROR(__xludf.DUMMYFUNCTION("IMPORTRANGE(""https://docs.google.com/spreadsheets/d/1SX6NBoVAgQJ6U1MVXOaj8PK2l7WJ3RER9xtqwdhxkhw/edit?usp=sharing"",""ปราจีนบุรี!J182"")"),0)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IFERROR(__xludf.DUMMYFUNCTION("IMPORTRANGE(""https://docs.google.com/spreadsheets/d/1SX6NBoVAgQJ6U1MVXOaj8PK2l7WJ3RER9xtqwdhxkhw/edit?usp=sharing"",""ปราจีนบุรี!J183"")"),0)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IFERROR(__xludf.DUMMYFUNCTION("IMPORTRANGE(""https://docs.google.com/spreadsheets/d/1SX6NBoVAgQJ6U1MVXOaj8PK2l7WJ3RER9xtqwdhxkhw/edit?usp=sharing"",""ปราจีนบุรี!J184"")"),0)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IFERROR(__xludf.DUMMYFUNCTION("IMPORTRANGE(""https://docs.google.com/spreadsheets/d/1SX6NBoVAgQJ6U1MVXOaj8PK2l7WJ3RER9xtqwdhxkhw/edit?usp=sharing"",""ปราจีนบุรี!I185"")"),0)</f>
        <v>0</v>
      </c>
      <c r="J270" s="316">
        <f ca="1">IFERROR(__xludf.DUMMYFUNCTION("IMPORTRANGE(""https://docs.google.com/spreadsheets/d/1SX6NBoVAgQJ6U1MVXOaj8PK2l7WJ3RER9xtqwdhxkhw/edit?usp=sharing"",""ปราจีนบุรี!J185"")"),0)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IFERROR(__xludf.DUMMYFUNCTION("IMPORTRANGE(""https://docs.google.com/spreadsheets/d/1Yj_ptqi66GCucihVvJfMjLAmec39IyEx_6qawtMGysU/edit?usp=sharing"",""สบก!CK69"")"),0)</f>
        <v>0</v>
      </c>
      <c r="N275" s="170">
        <f ca="1">IFERROR(__xludf.DUMMYFUNCTION("IMPORTRANGE(""https://docs.google.com/spreadsheets/d/1Yj_ptqi66GCucihVvJfMjLAmec39IyEx_6qawtMGysU/edit?usp=sharing"",""สบก!CL69"")"),0)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IFERROR(__xludf.DUMMYFUNCTION("IMPORTRANGE(""https://docs.google.com/spreadsheets/d/1Yj_ptqi66GCucihVvJfMjLAmec39IyEx_6qawtMGysU/edit?usp=sharing"",""สบก!CG69"")"),0)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IFERROR(__xludf.DUMMYFUNCTION("IMPORTRANGE(""https://docs.google.com/spreadsheets/d/1Yj_ptqi66GCucihVvJfMjLAmec39IyEx_6qawtMGysU/edit?usp=sharing"",""สบก!CH69"")"),0)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IFERROR(__xludf.DUMMYFUNCTION("IMPORTRANGE(""https://docs.google.com/spreadsheets/d/1SX6NBoVAgQJ6U1MVXOaj8PK2l7WJ3RER9xtqwdhxkhw/edit?usp=sharing"",""ปราจีนบุรี!J191"")"),0)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IFERROR(__xludf.DUMMYFUNCTION("IMPORTRANGE(""https://docs.google.com/spreadsheets/d/1SX6NBoVAgQJ6U1MVXOaj8PK2l7WJ3RER9xtqwdhxkhw/edit?usp=sharing"",""ปราจีนบุรี!J192"")"),0)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IFERROR(__xludf.DUMMYFUNCTION("IMPORTRANGE(""https://docs.google.com/spreadsheets/d/1SX6NBoVAgQJ6U1MVXOaj8PK2l7WJ3RER9xtqwdhxkhw/edit?usp=sharing"",""ปราจีนบุรี!J193"")"),0)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IFERROR(__xludf.DUMMYFUNCTION("IMPORTRANGE(""https://docs.google.com/spreadsheets/d/1SX6NBoVAgQJ6U1MVXOaj8PK2l7WJ3RER9xtqwdhxkhw/edit?usp=sharing"",""ปราจีนบุรี!J194"")"),0)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IFERROR(__xludf.DUMMYFUNCTION("IMPORTRANGE(""https://docs.google.com/spreadsheets/d/1SX6NBoVAgQJ6U1MVXOaj8PK2l7WJ3RER9xtqwdhxkhw/edit?usp=sharing"",""ปราจีนบุรี!I195"")"),0)</f>
        <v>0</v>
      </c>
      <c r="J285" s="190">
        <f ca="1">IFERROR(__xludf.DUMMYFUNCTION("IMPORTRANGE(""https://docs.google.com/spreadsheets/d/1SX6NBoVAgQJ6U1MVXOaj8PK2l7WJ3RER9xtqwdhxkhw/edit?usp=sharing"",""ปราจีนบุรี!J195"")"),0)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IFERROR(__xludf.DUMMYFUNCTION("IMPORTRANGE(""https://docs.google.com/spreadsheets/d/1SX6NBoVAgQJ6U1MVXOaj8PK2l7WJ3RER9xtqwdhxkhw/edit?usp=sharing"",""ปราจีนบุรี!J196"")"),0)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IFERROR(__xludf.DUMMYFUNCTION("IMPORTRANGE(""https://docs.google.com/spreadsheets/d/1SX6NBoVAgQJ6U1MVXOaj8PK2l7WJ3RER9xtqwdhxkhw/edit?usp=sharing"",""ปราจีนบุรี!I199"")"),0)</f>
        <v>0</v>
      </c>
      <c r="J289" s="316">
        <f ca="1">IFERROR(__xludf.DUMMYFUNCTION("IMPORTRANGE(""https://docs.google.com/spreadsheets/d/1SX6NBoVAgQJ6U1MVXOaj8PK2l7WJ3RER9xtqwdhxkhw/edit?usp=sharing"",""ปราจีนบุรี!J199"")"),0)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IFERROR(__xludf.DUMMYFUNCTION("IMPORTRANGE(""https://docs.google.com/spreadsheets/d/1Yj_ptqi66GCucihVvJfMjLAmec39IyEx_6qawtMGysU/edit?usp=sharing"",""สบก!CT69"")"),0)</f>
        <v>0</v>
      </c>
      <c r="N294" s="170">
        <f ca="1">IFERROR(__xludf.DUMMYFUNCTION("IMPORTRANGE(""https://docs.google.com/spreadsheets/d/1Yj_ptqi66GCucihVvJfMjLAmec39IyEx_6qawtMGysU/edit?usp=sharing"",""สบก!CU69"")"),0)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IFERROR(__xludf.DUMMYFUNCTION("IMPORTRANGE(""https://docs.google.com/spreadsheets/d/1Yj_ptqi66GCucihVvJfMjLAmec39IyEx_6qawtMGysU/edit?usp=sharing"",""สบก!CP69"")"),0)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IFERROR(__xludf.DUMMYFUNCTION("IMPORTRANGE(""https://docs.google.com/spreadsheets/d/1Yj_ptqi66GCucihVvJfMjLAmec39IyEx_6qawtMGysU/edit?usp=sharing"",""สบก!CQ69"")"),0)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IFERROR(__xludf.DUMMYFUNCTION("IMPORTRANGE(""https://docs.google.com/spreadsheets/d/1SX6NBoVAgQJ6U1MVXOaj8PK2l7WJ3RER9xtqwdhxkhw/edit?usp=sharing"",""ปราจีนบุรี!I209"")"),0)</f>
        <v>0</v>
      </c>
      <c r="J304" s="205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IFERROR(__xludf.DUMMYFUNCTION("IMPORTRANGE(""https://docs.google.com/spreadsheets/d/1SX6NBoVAgQJ6U1MVXOaj8PK2l7WJ3RER9xtqwdhxkhw/edit?usp=sharing"",""ปราจีนบุรี!I211"")"),0)</f>
        <v>0</v>
      </c>
      <c r="J306" s="205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IFERROR(__xludf.DUMMYFUNCTION("IMPORTRANGE(""https://docs.google.com/spreadsheets/d/1SX6NBoVAgQJ6U1MVXOaj8PK2l7WJ3RER9xtqwdhxkhw/edit?usp=sharing"",""ปราจีนบุรี!I214"")"),0)</f>
        <v>0</v>
      </c>
      <c r="J309" s="333">
        <f ca="1">IFERROR(__xludf.DUMMYFUNCTION("IMPORTRANGE(""https://docs.google.com/spreadsheets/d/1SX6NBoVAgQJ6U1MVXOaj8PK2l7WJ3RER9xtqwdhxkhw/edit?usp=sharing"",""ปราจีนบุรี!J214"")"),0)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IFERROR(__xludf.DUMMYFUNCTION("IMPORTRANGE(""https://docs.google.com/spreadsheets/d/1Yj_ptqi66GCucihVvJfMjLAmec39IyEx_6qawtMGysU/edit?usp=sharing"",""สบก!DC69"")"),0)</f>
        <v>0</v>
      </c>
      <c r="N314" s="170">
        <f ca="1">IFERROR(__xludf.DUMMYFUNCTION("IMPORTRANGE(""https://docs.google.com/spreadsheets/d/1Yj_ptqi66GCucihVvJfMjLAmec39IyEx_6qawtMGysU/edit?usp=sharing"",""สบก!DD69"")"),0)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IFERROR(__xludf.DUMMYFUNCTION("IMPORTRANGE(""https://docs.google.com/spreadsheets/d/1Yj_ptqi66GCucihVvJfMjLAmec39IyEx_6qawtMGysU/edit?usp=sharing"",""สบก!CY69"")"),0)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IFERROR(__xludf.DUMMYFUNCTION("IMPORTRANGE(""https://docs.google.com/spreadsheets/d/1Yj_ptqi66GCucihVvJfMjLAmec39IyEx_6qawtMGysU/edit?usp=sharing"",""สบก!CZ69"")"),0)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IFERROR(__xludf.DUMMYFUNCTION("IMPORTRANGE(""https://docs.google.com/spreadsheets/d/1SX6NBoVAgQJ6U1MVXOaj8PK2l7WJ3RER9xtqwdhxkhw/edit?usp=sharing"",""ปราจีนบุรี!I224"")"),0)</f>
        <v>0</v>
      </c>
      <c r="J324" s="205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IFERROR(__xludf.DUMMYFUNCTION("IMPORTRANGE(""https://docs.google.com/spreadsheets/d/1SX6NBoVAgQJ6U1MVXOaj8PK2l7WJ3RER9xtqwdhxkhw/edit?usp=sharing"",""ปราจีนบุรี!I228"")"),95)</f>
        <v>95</v>
      </c>
      <c r="J328" s="339">
        <f ca="1">IFERROR(__xludf.DUMMYFUNCTION("IMPORTRANGE(""https://docs.google.com/spreadsheets/d/1SX6NBoVAgQJ6U1MVXOaj8PK2l7WJ3RER9xtqwdhxkhw/edit?usp=sharing"",""ปราจีนบุรี!J228"")"),40)</f>
        <v>40</v>
      </c>
      <c r="K328" s="317">
        <f ca="1">IF(I328&gt;0,J328*100/I328,0)</f>
        <v>42.10526315789474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880650</v>
      </c>
      <c r="M329" s="152">
        <f t="shared" ca="1" si="98"/>
        <v>533830</v>
      </c>
      <c r="N329" s="152">
        <f t="shared" ca="1" si="98"/>
        <v>418985</v>
      </c>
      <c r="O329" s="151">
        <f t="shared" ref="O329:O331" ca="1" si="99">IF(L329&gt;0,N329*100/L329,0)</f>
        <v>47.576789871117924</v>
      </c>
      <c r="P329" s="151">
        <f t="shared" ref="P329:P331" ca="1" si="100">IF(M329&gt;0,N329*100/M329,0)</f>
        <v>78.486596856677224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880650</v>
      </c>
      <c r="M331" s="157">
        <f t="shared" ca="1" si="102"/>
        <v>533830</v>
      </c>
      <c r="N331" s="157">
        <f t="shared" ca="1" si="102"/>
        <v>418985</v>
      </c>
      <c r="O331" s="156">
        <f t="shared" ca="1" si="99"/>
        <v>47.576789871117924</v>
      </c>
      <c r="P331" s="156">
        <f t="shared" ca="1" si="100"/>
        <v>78.486596856677224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880650</v>
      </c>
      <c r="M333" s="169">
        <f ca="1">IFERROR(__xludf.DUMMYFUNCTION("IMPORTRANGE(""https://docs.google.com/spreadsheets/d/1Yj_ptqi66GCucihVvJfMjLAmec39IyEx_6qawtMGysU/edit?usp=sharing"",""สบก!DL69"")"),533830)</f>
        <v>533830</v>
      </c>
      <c r="N333" s="170">
        <f ca="1">IFERROR(__xludf.DUMMYFUNCTION("IMPORTRANGE(""https://docs.google.com/spreadsheets/d/1Yj_ptqi66GCucihVvJfMjLAmec39IyEx_6qawtMGysU/edit?usp=sharing"",""สบก!DM69"")"),418985)</f>
        <v>418985</v>
      </c>
      <c r="O333" s="170">
        <f ca="1">IF(L333&gt;0,N333*100/L333,0)</f>
        <v>47.576789871117924</v>
      </c>
      <c r="P333" s="170">
        <f ca="1">IF(M333&gt;0,N333*100/M333,0)</f>
        <v>78.486596856677224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IFERROR(__xludf.DUMMYFUNCTION("IMPORTRANGE(""https://docs.google.com/spreadsheets/d/1Yj_ptqi66GCucihVvJfMjLAmec39IyEx_6qawtMGysU/edit?usp=sharing"",""สบก!DH69"")"),583200)</f>
        <v>583200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IFERROR(__xludf.DUMMYFUNCTION("IMPORTRANGE(""https://docs.google.com/spreadsheets/d/1Yj_ptqi66GCucihVvJfMjLAmec39IyEx_6qawtMGysU/edit?usp=sharing"",""สบก!DI69"")"),297450)</f>
        <v>297450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IFERROR(__xludf.DUMMYFUNCTION("IMPORTRANGE(""https://docs.google.com/spreadsheets/d/1SX6NBoVAgQJ6U1MVXOaj8PK2l7WJ3RER9xtqwdhxkhw/edit?usp=sharing"",""ปราจีนบุรี!I234"")"),0)</f>
        <v>0</v>
      </c>
      <c r="J339" s="189">
        <f ca="1">IFERROR(__xludf.DUMMYFUNCTION("IMPORTRANGE(""https://docs.google.com/spreadsheets/d/1SX6NBoVAgQJ6U1MVXOaj8PK2l7WJ3RER9xtqwdhxkhw/edit?usp=sharing"",""ปราจีนบุรี!J234"")"),54)</f>
        <v>54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IFERROR(__xludf.DUMMYFUNCTION("IMPORTRANGE(""https://docs.google.com/spreadsheets/d/1SX6NBoVAgQJ6U1MVXOaj8PK2l7WJ3RER9xtqwdhxkhw/edit?usp=sharing"",""ปราจีนบุรี!I235"")"),1400)</f>
        <v>1400</v>
      </c>
      <c r="J340" s="189">
        <f ca="1">IFERROR(__xludf.DUMMYFUNCTION("IMPORTRANGE(""https://docs.google.com/spreadsheets/d/1SX6NBoVAgQJ6U1MVXOaj8PK2l7WJ3RER9xtqwdhxkhw/edit?usp=sharing"",""ปราจีนบุรี!J235"")"),661.93)</f>
        <v>661.93</v>
      </c>
      <c r="K340" s="342">
        <f t="shared" ca="1" si="103"/>
        <v>47.280714285714289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IFERROR(__xludf.DUMMYFUNCTION("IMPORTRANGE(""https://docs.google.com/spreadsheets/d/1SX6NBoVAgQJ6U1MVXOaj8PK2l7WJ3RER9xtqwdhxkhw/edit?usp=sharing"",""ปราจีนบุรี!I236"")"),95)</f>
        <v>95</v>
      </c>
      <c r="J341" s="189">
        <f ca="1">IFERROR(__xludf.DUMMYFUNCTION("IMPORTRANGE(""https://docs.google.com/spreadsheets/d/1SX6NBoVAgQJ6U1MVXOaj8PK2l7WJ3RER9xtqwdhxkhw/edit?usp=sharing"",""ปราจีนบุรี!J236"")"),53)</f>
        <v>53</v>
      </c>
      <c r="K341" s="342">
        <f t="shared" ca="1" si="103"/>
        <v>55.789473684210527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9">
        <f ca="1">IFERROR(__xludf.DUMMYFUNCTION("IMPORTRANGE(""https://docs.google.com/spreadsheets/d/1SX6NBoVAgQJ6U1MVXOaj8PK2l7WJ3RER9xtqwdhxkhw/edit?usp=sharing"",""ปราจีนบุรี!J237"")"),841.67)</f>
        <v>841.67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IFERROR(__xludf.DUMMYFUNCTION("IMPORTRANGE(""https://docs.google.com/spreadsheets/d/1SX6NBoVAgQJ6U1MVXOaj8PK2l7WJ3RER9xtqwdhxkhw/edit?usp=sharing"",""ปราจีนบุรี!I238"")"),95)</f>
        <v>95</v>
      </c>
      <c r="J343" s="189">
        <f ca="1">IFERROR(__xludf.DUMMYFUNCTION("IMPORTRANGE(""https://docs.google.com/spreadsheets/d/1SX6NBoVAgQJ6U1MVXOaj8PK2l7WJ3RER9xtqwdhxkhw/edit?usp=sharing"",""ปราจีนบุรี!J238"")"),0)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9">
        <f ca="1">IFERROR(__xludf.DUMMYFUNCTION("IMPORTRANGE(""https://docs.google.com/spreadsheets/d/1SX6NBoVAgQJ6U1MVXOaj8PK2l7WJ3RER9xtqwdhxkhw/edit?usp=sharing"",""ปราจีนบุรี!J239"")"),0)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IFERROR(__xludf.DUMMYFUNCTION("IMPORTRANGE(""https://docs.google.com/spreadsheets/d/1SX6NBoVAgQJ6U1MVXOaj8PK2l7WJ3RER9xtqwdhxkhw/edit?usp=sharing"",""ปราจีนบุรี!I240"")"),95)</f>
        <v>95</v>
      </c>
      <c r="J345" s="189">
        <f ca="1">IFERROR(__xludf.DUMMYFUNCTION("IMPORTRANGE(""https://docs.google.com/spreadsheets/d/1SX6NBoVAgQJ6U1MVXOaj8PK2l7WJ3RER9xtqwdhxkhw/edit?usp=sharing"",""ปราจีนบุรี!J240"")"),40)</f>
        <v>40</v>
      </c>
      <c r="K345" s="342">
        <f t="shared" ca="1" si="103"/>
        <v>42.10526315789474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9">
        <f ca="1">IFERROR(__xludf.DUMMYFUNCTION("IMPORTRANGE(""https://docs.google.com/spreadsheets/d/1SX6NBoVAgQJ6U1MVXOaj8PK2l7WJ3RER9xtqwdhxkhw/edit?usp=sharing"",""ปราจีนบุรี!J241"")"),734.25)</f>
        <v>734.25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IFERROR(__xludf.DUMMYFUNCTION("IMPORTRANGE(""https://docs.google.com/spreadsheets/d/1SX6NBoVAgQJ6U1MVXOaj8PK2l7WJ3RER9xtqwdhxkhw/edit?usp=sharing"",""ปราจีนบุรี!L242"")"),824826)</f>
        <v>824826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IFERROR(__xludf.DUMMYFUNCTION("IMPORTRANGE(""https://docs.google.com/spreadsheets/d/1SX6NBoVAgQJ6U1MVXOaj8PK2l7WJ3RER9xtqwdhxkhw/edit?usp=sharing"",""ปราจีนบุรี!M242"")"),31756)</f>
        <v>31756</v>
      </c>
      <c r="O347" s="358">
        <f ca="1">+IF(L347&gt;0,N347*100/L347,0)</f>
        <v>3.8500241263005774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IFERROR(__xludf.DUMMYFUNCTION("IMPORTRANGE(""https://docs.google.com/spreadsheets/d/1SX6NBoVAgQJ6U1MVXOaj8PK2l7WJ3RER9xtqwdhxkhw/edit?usp=sharing"",""ปราจีนบุรี!L246"")"),0)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IFERROR(__xludf.DUMMYFUNCTION("IMPORTRANGE(""https://docs.google.com/spreadsheets/d/1SX6NBoVAgQJ6U1MVXOaj8PK2l7WJ3RER9xtqwdhxkhw/edit?usp=sharing"",""ปราจีนบุรี!M246"")"),0)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IFERROR(__xludf.DUMMYFUNCTION("IMPORTRANGE(""https://docs.google.com/spreadsheets/d/1SX6NBoVAgQJ6U1MVXOaj8PK2l7WJ3RER9xtqwdhxkhw/edit?usp=sharing"",""ปราจีนบุรี!L247"")"),93120)</f>
        <v>93120</v>
      </c>
      <c r="M352" s="167"/>
      <c r="N352" s="166">
        <f ca="1">IFERROR(__xludf.DUMMYFUNCTION("IMPORTRANGE(""https://docs.google.com/spreadsheets/d/1SX6NBoVAgQJ6U1MVXOaj8PK2l7WJ3RER9xtqwdhxkhw/edit?usp=sharing"",""ปราจีนบุรี!M247"")"),0)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IFERROR(__xludf.DUMMYFUNCTION("IMPORTRANGE(""https://docs.google.com/spreadsheets/d/1SX6NBoVAgQJ6U1MVXOaj8PK2l7WJ3RER9xtqwdhxkhw/edit?usp=sharing"",""ปราจีนบุรี!L248"")"),0)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IFERROR(__xludf.DUMMYFUNCTION("IMPORTRANGE(""https://docs.google.com/spreadsheets/d/1SX6NBoVAgQJ6U1MVXOaj8PK2l7WJ3RER9xtqwdhxkhw/edit?usp=sharing"",""ปราจีนบุรี!M248"")"),0)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IFERROR(__xludf.DUMMYFUNCTION("IMPORTRANGE(""https://docs.google.com/spreadsheets/d/1SX6NBoVAgQJ6U1MVXOaj8PK2l7WJ3RER9xtqwdhxkhw/edit?usp=sharing"",""ปราจีนบุรี!L249"")"),93120)</f>
        <v>93120</v>
      </c>
      <c r="M354" s="170"/>
      <c r="N354" s="169">
        <f ca="1">IFERROR(__xludf.DUMMYFUNCTION("IMPORTRANGE(""https://docs.google.com/spreadsheets/d/1SX6NBoVAgQJ6U1MVXOaj8PK2l7WJ3RER9xtqwdhxkhw/edit?usp=sharing"",""ปราจีนบุรี!M249"")"),0)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IFERROR(__xludf.DUMMYFUNCTION("IMPORTRANGE(""https://docs.google.com/spreadsheets/d/1SX6NBoVAgQJ6U1MVXOaj8PK2l7WJ3RER9xtqwdhxkhw/edit?usp=sharing"",""ปราจีนบุรี!M250"")"),0)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IFERROR(__xludf.DUMMYFUNCTION("IMPORTRANGE(""https://docs.google.com/spreadsheets/d/1SX6NBoVAgQJ6U1MVXOaj8PK2l7WJ3RER9xtqwdhxkhw/edit?usp=sharing"",""ปราจีนบุรี!M251"")"),0)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IFERROR(__xludf.DUMMYFUNCTION("IMPORTRANGE(""https://docs.google.com/spreadsheets/d/1SX6NBoVAgQJ6U1MVXOaj8PK2l7WJ3RER9xtqwdhxkhw/edit?usp=sharing"",""ปราจีนบุรี!M253"")"),0)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IFERROR(__xludf.DUMMYFUNCTION("IMPORTRANGE(""https://docs.google.com/spreadsheets/d/1SX6NBoVAgQJ6U1MVXOaj8PK2l7WJ3RER9xtqwdhxkhw/edit?usp=sharing"",""ปราจีนบุรี!J255"")"),1)</f>
        <v>1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IFERROR(__xludf.DUMMYFUNCTION("IMPORTRANGE(""https://docs.google.com/spreadsheets/d/1SX6NBoVAgQJ6U1MVXOaj8PK2l7WJ3RER9xtqwdhxkhw/edit?usp=sharing"",""ปราจีนบุรี!J256"")"),0)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IFERROR(__xludf.DUMMYFUNCTION("IMPORTRANGE(""https://docs.google.com/spreadsheets/d/1SX6NBoVAgQJ6U1MVXOaj8PK2l7WJ3RER9xtqwdhxkhw/edit?usp=sharing"",""ปราจีนบุรี!J257"")"),0)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IFERROR(__xludf.DUMMYFUNCTION("IMPORTRANGE(""https://docs.google.com/spreadsheets/d/1SX6NBoVAgQJ6U1MVXOaj8PK2l7WJ3RER9xtqwdhxkhw/edit?usp=sharing"",""ปราจีนบุรี!J258"")"),0)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IFERROR(__xludf.DUMMYFUNCTION("IMPORTRANGE(""https://docs.google.com/spreadsheets/d/1SX6NBoVAgQJ6U1MVXOaj8PK2l7WJ3RER9xtqwdhxkhw/edit?usp=sharing"",""ปราจีนบุรี!J166"")"),0)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IFERROR(__xludf.DUMMYFUNCTION("IMPORTRANGE(""https://docs.google.com/spreadsheets/d/1SX6NBoVAgQJ6U1MVXOaj8PK2l7WJ3RER9xtqwdhxkhw/edit?usp=sharing"",""ปราจีนบุรี!J166"")"),0)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IFERROR(__xludf.DUMMYFUNCTION("IMPORTRANGE(""https://docs.google.com/spreadsheets/d/1SX6NBoVAgQJ6U1MVXOaj8PK2l7WJ3RER9xtqwdhxkhw/edit?usp=sharing"",""ปราจีนบุรี!J166"")"),0)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IFERROR(__xludf.DUMMYFUNCTION("IMPORTRANGE(""https://docs.google.com/spreadsheets/d/1SX6NBoVAgQJ6U1MVXOaj8PK2l7WJ3RER9xtqwdhxkhw/edit?usp=sharing"",""ปราจีนบุรี!J166"")"),0)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IFERROR(__xludf.DUMMYFUNCTION("IMPORTRANGE(""https://docs.google.com/spreadsheets/d/1SX6NBoVAgQJ6U1MVXOaj8PK2l7WJ3RER9xtqwdhxkhw/edit?usp=sharing"",""ปราจีนบุรี!I263"")"),20)</f>
        <v>20</v>
      </c>
      <c r="J368" s="189">
        <f ca="1">IFERROR(__xludf.DUMMYFUNCTION("IMPORTRANGE(""https://docs.google.com/spreadsheets/d/1SX6NBoVAgQJ6U1MVXOaj8PK2l7WJ3RER9xtqwdhxkhw/edit?usp=sharing"",""ปราจีนบุรี!J263"")"),0)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IFERROR(__xludf.DUMMYFUNCTION("IMPORTRANGE(""https://docs.google.com/spreadsheets/d/1SX6NBoVAgQJ6U1MVXOaj8PK2l7WJ3RER9xtqwdhxkhw/edit?usp=sharing"",""ปราจีนบุรี!I164"")"),0)</f>
        <v>0</v>
      </c>
      <c r="J369" s="205">
        <f ca="1">IFERROR(__xludf.DUMMYFUNCTION("IMPORTRANGE(""https://docs.google.com/spreadsheets/d/1SX6NBoVAgQJ6U1MVXOaj8PK2l7WJ3RER9xtqwdhxkhw/edit?usp=sharing"",""ปราจีนบุรี!J164"")"),0)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IFERROR(__xludf.DUMMYFUNCTION("IMPORTRANGE(""https://docs.google.com/spreadsheets/d/1SX6NBoVAgQJ6U1MVXOaj8PK2l7WJ3RER9xtqwdhxkhw/edit?usp=sharing"",""ปราจีนบุรี!I265"")"),20)</f>
        <v>20</v>
      </c>
      <c r="J370" s="205">
        <f ca="1">IFERROR(__xludf.DUMMYFUNCTION("IMPORTRANGE(""https://docs.google.com/spreadsheets/d/1SX6NBoVAgQJ6U1MVXOaj8PK2l7WJ3RER9xtqwdhxkhw/edit?usp=sharing"",""ปราจีนบุรี!J265"")"),0)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IFERROR(__xludf.DUMMYFUNCTION("IMPORTRANGE(""https://docs.google.com/spreadsheets/d/1SX6NBoVAgQJ6U1MVXOaj8PK2l7WJ3RER9xtqwdhxkhw/edit?usp=sharing"",""ปราจีนบุรี!I164"")"),0)</f>
        <v>0</v>
      </c>
      <c r="J371" s="190">
        <f ca="1">IFERROR(__xludf.DUMMYFUNCTION("IMPORTRANGE(""https://docs.google.com/spreadsheets/d/1SX6NBoVAgQJ6U1MVXOaj8PK2l7WJ3RER9xtqwdhxkhw/edit?usp=sharing"",""ปราจีนบุรี!J164"")"),0)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IFERROR(__xludf.DUMMYFUNCTION("IMPORTRANGE(""https://docs.google.com/spreadsheets/d/1SX6NBoVAgQJ6U1MVXOaj8PK2l7WJ3RER9xtqwdhxkhw/edit?usp=sharing"",""ปราจีนบุรี!I267"")"),20)</f>
        <v>20</v>
      </c>
      <c r="J372" s="190">
        <f ca="1">IFERROR(__xludf.DUMMYFUNCTION("IMPORTRANGE(""https://docs.google.com/spreadsheets/d/1SX6NBoVAgQJ6U1MVXOaj8PK2l7WJ3RER9xtqwdhxkhw/edit?usp=sharing"",""ปราจีนบุรี!J267"")"),0)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IFERROR(__xludf.DUMMYFUNCTION("IMPORTRANGE(""https://docs.google.com/spreadsheets/d/1SX6NBoVAgQJ6U1MVXOaj8PK2l7WJ3RER9xtqwdhxkhw/edit?usp=sharing"",""ปราจีนบุรี!I164"")"),0)</f>
        <v>0</v>
      </c>
      <c r="J373" s="205">
        <f ca="1">IFERROR(__xludf.DUMMYFUNCTION("IMPORTRANGE(""https://docs.google.com/spreadsheets/d/1SX6NBoVAgQJ6U1MVXOaj8PK2l7WJ3RER9xtqwdhxkhw/edit?usp=sharing"",""ปราจีนบุรี!J164"")"),0)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IFERROR(__xludf.DUMMYFUNCTION("IMPORTRANGE(""https://docs.google.com/spreadsheets/d/1SX6NBoVAgQJ6U1MVXOaj8PK2l7WJ3RER9xtqwdhxkhw/edit?usp=sharing"",""ปราจีนบุรี!I164"")"),0)</f>
        <v>0</v>
      </c>
      <c r="J374" s="189">
        <f ca="1">IFERROR(__xludf.DUMMYFUNCTION("IMPORTRANGE(""https://docs.google.com/spreadsheets/d/1SX6NBoVAgQJ6U1MVXOaj8PK2l7WJ3RER9xtqwdhxkhw/edit?usp=sharing"",""ปราจีนบุรี!J164"")"),0)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IFERROR(__xludf.DUMMYFUNCTION("IMPORTRANGE(""https://docs.google.com/spreadsheets/d/1SX6NBoVAgQJ6U1MVXOaj8PK2l7WJ3RER9xtqwdhxkhw/edit?usp=sharing"",""ปราจีนบุรี!I270"")"),60)</f>
        <v>60</v>
      </c>
      <c r="J375" s="189">
        <f ca="1">IFERROR(__xludf.DUMMYFUNCTION("IMPORTRANGE(""https://docs.google.com/spreadsheets/d/1SX6NBoVAgQJ6U1MVXOaj8PK2l7WJ3RER9xtqwdhxkhw/edit?usp=sharing"",""ปราจีนบุรี!J270"")"),0)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IFERROR(__xludf.DUMMYFUNCTION("IMPORTRANGE(""https://docs.google.com/spreadsheets/d/1SX6NBoVAgQJ6U1MVXOaj8PK2l7WJ3RER9xtqwdhxkhw/edit?usp=sharing"",""ปราจีนบุรี!I271"")"),0)</f>
        <v>0</v>
      </c>
      <c r="J376" s="190">
        <f ca="1">IFERROR(__xludf.DUMMYFUNCTION("IMPORTRANGE(""https://docs.google.com/spreadsheets/d/1SX6NBoVAgQJ6U1MVXOaj8PK2l7WJ3RER9xtqwdhxkhw/edit?usp=sharing"",""ปราจีนบุรี!J271"")"),0)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IFERROR(__xludf.DUMMYFUNCTION("IMPORTRANGE(""https://docs.google.com/spreadsheets/d/1SX6NBoVAgQJ6U1MVXOaj8PK2l7WJ3RER9xtqwdhxkhw/edit?usp=sharing"",""ปราจีนบุรี!I272"")"),60)</f>
        <v>60</v>
      </c>
      <c r="J377" s="205">
        <f ca="1">IFERROR(__xludf.DUMMYFUNCTION("IMPORTRANGE(""https://docs.google.com/spreadsheets/d/1SX6NBoVAgQJ6U1MVXOaj8PK2l7WJ3RER9xtqwdhxkhw/edit?usp=sharing"",""ปราจีนบุรี!J272"")"),0)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IFERROR(__xludf.DUMMYFUNCTION("IMPORTRANGE(""https://docs.google.com/spreadsheets/d/1SX6NBoVAgQJ6U1MVXOaj8PK2l7WJ3RER9xtqwdhxkhw/edit?usp=sharing"",""ปราจีนบุรี!J273"")"),0)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IFERROR(__xludf.DUMMYFUNCTION("IMPORTRANGE(""https://docs.google.com/spreadsheets/d/1SX6NBoVAgQJ6U1MVXOaj8PK2l7WJ3RER9xtqwdhxkhw/edit?usp=sharing"",""ปราจีนบุรี!J274"")"),0)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IFERROR(__xludf.DUMMYFUNCTION("IMPORTRANGE(""https://docs.google.com/spreadsheets/d/1SX6NBoVAgQJ6U1MVXOaj8PK2l7WJ3RER9xtqwdhxkhw/edit?usp=sharing"",""ปราจีนบุรี!L277"")"),0)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IFERROR(__xludf.DUMMYFUNCTION("IMPORTRANGE(""https://docs.google.com/spreadsheets/d/1SX6NBoVAgQJ6U1MVXOaj8PK2l7WJ3RER9xtqwdhxkhw/edit?usp=sharing"",""ปราจีนบุรี!M277"")"),0)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IFERROR(__xludf.DUMMYFUNCTION("IMPORTRANGE(""https://docs.google.com/spreadsheets/d/1SX6NBoVAgQJ6U1MVXOaj8PK2l7WJ3RER9xtqwdhxkhw/edit?usp=sharing"",""ปราจีนบุรี!M278"")"),0)</f>
        <v>0</v>
      </c>
      <c r="O383" s="167">
        <f t="shared" ca="1" si="109"/>
        <v>0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IFERROR(__xludf.DUMMYFUNCTION("IMPORTRANGE(""https://docs.google.com/spreadsheets/d/1SX6NBoVAgQJ6U1MVXOaj8PK2l7WJ3RER9xtqwdhxkhw/edit?usp=sharing"",""ปราจีนบุรี!L279"")"),0)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IFERROR(__xludf.DUMMYFUNCTION("IMPORTRANGE(""https://docs.google.com/spreadsheets/d/1SX6NBoVAgQJ6U1MVXOaj8PK2l7WJ3RER9xtqwdhxkhw/edit?usp=sharing"",""ปราจีนบุรี!M279"")"),0)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IFERROR(__xludf.DUMMYFUNCTION("IMPORTRANGE(""https://docs.google.com/spreadsheets/d/1SX6NBoVAgQJ6U1MVXOaj8PK2l7WJ3RER9xtqwdhxkhw/edit?usp=sharing"",""ปราจีนบุรี!L280"")"),207560)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IFERROR(__xludf.DUMMYFUNCTION("IMPORTRANGE(""https://docs.google.com/spreadsheets/d/1SX6NBoVAgQJ6U1MVXOaj8PK2l7WJ3RER9xtqwdhxkhw/edit?usp=sharing"",""ปราจีนบุรี!M280"")"),0)</f>
        <v>0</v>
      </c>
      <c r="O385" s="170">
        <f t="shared" ca="1" si="109"/>
        <v>0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IFERROR(__xludf.DUMMYFUNCTION("IMPORTRANGE(""https://docs.google.com/spreadsheets/d/1SX6NBoVAgQJ6U1MVXOaj8PK2l7WJ3RER9xtqwdhxkhw/edit?usp=sharing"",""ปราจีนบุรี!M281"")"),0)</f>
        <v>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IFERROR(__xludf.DUMMYFUNCTION("IMPORTRANGE(""https://docs.google.com/spreadsheets/d/1SX6NBoVAgQJ6U1MVXOaj8PK2l7WJ3RER9xtqwdhxkhw/edit?usp=sharing"",""ปราจีนบุรี!M282"")"),0)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IFERROR(__xludf.DUMMYFUNCTION("IMPORTRANGE(""https://docs.google.com/spreadsheets/d/1SX6NBoVAgQJ6U1MVXOaj8PK2l7WJ3RER9xtqwdhxkhw/edit?usp=sharing"",""ปราจีนบุรี!M284"")"),0)</f>
        <v>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IFERROR(__xludf.DUMMYFUNCTION("IMPORTRANGE(""https://docs.google.com/spreadsheets/d/1SX6NBoVAgQJ6U1MVXOaj8PK2l7WJ3RER9xtqwdhxkhw/edit?usp=sharing"",""ปราจีนบุรี!J286"")"),1)</f>
        <v>1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IFERROR(__xludf.DUMMYFUNCTION("IMPORTRANGE(""https://docs.google.com/spreadsheets/d/1SX6NBoVAgQJ6U1MVXOaj8PK2l7WJ3RER9xtqwdhxkhw/edit?usp=sharing"",""ปราจีนบุรี!J287"")"),0)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IFERROR(__xludf.DUMMYFUNCTION("IMPORTRANGE(""https://docs.google.com/spreadsheets/d/1SX6NBoVAgQJ6U1MVXOaj8PK2l7WJ3RER9xtqwdhxkhw/edit?usp=sharing"",""ปราจีนบุรี!J288"")"),0)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IFERROR(__xludf.DUMMYFUNCTION("IMPORTRANGE(""https://docs.google.com/spreadsheets/d/1SX6NBoVAgQJ6U1MVXOaj8PK2l7WJ3RER9xtqwdhxkhw/edit?usp=sharing"",""ปราจีนบุรี!J289"")"),0)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IFERROR(__xludf.DUMMYFUNCTION("IMPORTRANGE(""https://docs.google.com/spreadsheets/d/1SX6NBoVAgQJ6U1MVXOaj8PK2l7WJ3RER9xtqwdhxkhw/edit?usp=sharing"",""ปราจีนบุรี!I291"")"),20)</f>
        <v>20</v>
      </c>
      <c r="J396" s="199">
        <f ca="1">IFERROR(__xludf.DUMMYFUNCTION("IMPORTRANGE(""https://docs.google.com/spreadsheets/d/1SX6NBoVAgQJ6U1MVXOaj8PK2l7WJ3RER9xtqwdhxkhw/edit?usp=sharing"",""ปราจีนบุรี!J291"")"),0)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IFERROR(__xludf.DUMMYFUNCTION("IMPORTRANGE(""https://docs.google.com/spreadsheets/d/1SX6NBoVAgQJ6U1MVXOaj8PK2l7WJ3RER9xtqwdhxkhw/edit?usp=sharing"",""ปราจีนบุรี!I292"")"),200)</f>
        <v>200</v>
      </c>
      <c r="J397" s="199">
        <f ca="1">IFERROR(__xludf.DUMMYFUNCTION("IMPORTRANGE(""https://docs.google.com/spreadsheets/d/1SX6NBoVAgQJ6U1MVXOaj8PK2l7WJ3RER9xtqwdhxkhw/edit?usp=sharing"",""ปราจีนบุรี!J292"")"),0)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IFERROR(__xludf.DUMMYFUNCTION("IMPORTRANGE(""https://docs.google.com/spreadsheets/d/1SX6NBoVAgQJ6U1MVXOaj8PK2l7WJ3RER9xtqwdhxkhw/edit?usp=sharing"",""ปราจีนบุรี!I293"")"),20)</f>
        <v>20</v>
      </c>
      <c r="J398" s="199">
        <f ca="1">IFERROR(__xludf.DUMMYFUNCTION("IMPORTRANGE(""https://docs.google.com/spreadsheets/d/1SX6NBoVAgQJ6U1MVXOaj8PK2l7WJ3RER9xtqwdhxkhw/edit?usp=sharing"",""ปราจีนบุรี!J293"")"),0)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IFERROR(__xludf.DUMMYFUNCTION("IMPORTRANGE(""https://docs.google.com/spreadsheets/d/1SX6NBoVAgQJ6U1MVXOaj8PK2l7WJ3RER9xtqwdhxkhw/edit?usp=sharing"",""ปราจีนบุรี!J294"")"),0)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IFERROR(__xludf.DUMMYFUNCTION("IMPORTRANGE(""https://docs.google.com/spreadsheets/d/1SX6NBoVAgQJ6U1MVXOaj8PK2l7WJ3RER9xtqwdhxkhw/edit?usp=sharing"",""ปราจีนบุรี!J295"")"),0)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IFERROR(__xludf.DUMMYFUNCTION("IMPORTRANGE(""https://docs.google.com/spreadsheets/d/1SX6NBoVAgQJ6U1MVXOaj8PK2l7WJ3RER9xtqwdhxkhw/edit?usp=sharing"",""ปราจีนบุรี!M296"")"),0)</f>
        <v>0</v>
      </c>
      <c r="O401" s="373">
        <f ca="1">+IF(L401&gt;0,N401*100/L401,0)</f>
        <v>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IFERROR(__xludf.DUMMYFUNCTION("IMPORTRANGE(""https://docs.google.com/spreadsheets/d/1SX6NBoVAgQJ6U1MVXOaj8PK2l7WJ3RER9xtqwdhxkhw/edit?usp=sharing"",""ปราจีนบุรี!L298"")"),0)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IFERROR(__xludf.DUMMYFUNCTION("IMPORTRANGE(""https://docs.google.com/spreadsheets/d/1SX6NBoVAgQJ6U1MVXOaj8PK2l7WJ3RER9xtqwdhxkhw/edit?usp=sharing"",""ปราจีนบุรี!M298"")"),0)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7"/>
      <c r="N404" s="170">
        <f ca="1">IFERROR(__xludf.DUMMYFUNCTION("IMPORTRANGE(""https://docs.google.com/spreadsheets/d/1SX6NBoVAgQJ6U1MVXOaj8PK2l7WJ3RER9xtqwdhxkhw/edit?usp=sharing"",""ปราจีนบุรี!M299"")"),0)</f>
        <v>0</v>
      </c>
      <c r="O404" s="170">
        <f t="shared" ca="1" si="112"/>
        <v>0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IFERROR(__xludf.DUMMYFUNCTION("IMPORTRANGE(""https://docs.google.com/spreadsheets/d/1SX6NBoVAgQJ6U1MVXOaj8PK2l7WJ3RER9xtqwdhxkhw/edit?usp=sharing"",""ปราจีนบุรี!L300"")"),0)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IFERROR(__xludf.DUMMYFUNCTION("IMPORTRANGE(""https://docs.google.com/spreadsheets/d/1SX6NBoVAgQJ6U1MVXOaj8PK2l7WJ3RER9xtqwdhxkhw/edit?usp=sharing"",""ปราจีนบุรี!M300"")"),0)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IFERROR(__xludf.DUMMYFUNCTION("IMPORTRANGE(""https://docs.google.com/spreadsheets/d/1SX6NBoVAgQJ6U1MVXOaj8PK2l7WJ3RER9xtqwdhxkhw/edit?usp=sharing"",""ปราจีนบุรี!L301"")"),116320)</f>
        <v>116320</v>
      </c>
      <c r="M406" s="170"/>
      <c r="N406" s="170">
        <f ca="1">IFERROR(__xludf.DUMMYFUNCTION("IMPORTRANGE(""https://docs.google.com/spreadsheets/d/1SX6NBoVAgQJ6U1MVXOaj8PK2l7WJ3RER9xtqwdhxkhw/edit?usp=sharing"",""ปราจีนบุรี!M301"")"),0)</f>
        <v>0</v>
      </c>
      <c r="O406" s="170">
        <f t="shared" ca="1" si="112"/>
        <v>0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IFERROR(__xludf.DUMMYFUNCTION("IMPORTRANGE(""https://docs.google.com/spreadsheets/d/1SX6NBoVAgQJ6U1MVXOaj8PK2l7WJ3RER9xtqwdhxkhw/edit?usp=sharing"",""ปราจีนบุรี!M302"")"),0)</f>
        <v>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IFERROR(__xludf.DUMMYFUNCTION("IMPORTRANGE(""https://docs.google.com/spreadsheets/d/1SX6NBoVAgQJ6U1MVXOaj8PK2l7WJ3RER9xtqwdhxkhw/edit?usp=sharing"",""ปราจีนบุรี!M305"")"),0)</f>
        <v>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IFERROR(__xludf.DUMMYFUNCTION("IMPORTRANGE(""https://docs.google.com/spreadsheets/d/1SX6NBoVAgQJ6U1MVXOaj8PK2l7WJ3RER9xtqwdhxkhw/edit?usp=sharing"",""ปราจีนบุรี!J307"")"),0)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IFERROR(__xludf.DUMMYFUNCTION("IMPORTRANGE(""https://docs.google.com/spreadsheets/d/1SX6NBoVAgQJ6U1MVXOaj8PK2l7WJ3RER9xtqwdhxkhw/edit?usp=sharing"",""ปราจีนบุรี!J308"")"),1)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IFERROR(__xludf.DUMMYFUNCTION("IMPORTRANGE(""https://docs.google.com/spreadsheets/d/1SX6NBoVAgQJ6U1MVXOaj8PK2l7WJ3RER9xtqwdhxkhw/edit?usp=sharing"",""ปราจีนบุรี!J309"")"),1)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IFERROR(__xludf.DUMMYFUNCTION("IMPORTRANGE(""https://docs.google.com/spreadsheets/d/1SX6NBoVAgQJ6U1MVXOaj8PK2l7WJ3RER9xtqwdhxkhw/edit?usp=sharing"",""ปราจีนบุรี!J310"")"),1)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IFERROR(__xludf.DUMMYFUNCTION("IMPORTRANGE(""https://docs.google.com/spreadsheets/d/1SX6NBoVAgQJ6U1MVXOaj8PK2l7WJ3RER9xtqwdhxkhw/edit?usp=sharing"",""ปราจีนบุรี!I311"")"),30)</f>
        <v>30</v>
      </c>
      <c r="J416" s="202">
        <f ca="1">IFERROR(__xludf.DUMMYFUNCTION("IMPORTRANGE(""https://docs.google.com/spreadsheets/d/1SX6NBoVAgQJ6U1MVXOaj8PK2l7WJ3RER9xtqwdhxkhw/edit?usp=sharing"",""ปราจีนบุรี!J311"")"),0)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IFERROR(__xludf.DUMMYFUNCTION("IMPORTRANGE(""https://docs.google.com/spreadsheets/d/1SX6NBoVAgQJ6U1MVXOaj8PK2l7WJ3RER9xtqwdhxkhw/edit?usp=sharing"",""ปราจีนบุรี!J328"")"),0)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IFERROR(__xludf.DUMMYFUNCTION("IMPORTRANGE(""https://docs.google.com/spreadsheets/d/1SX6NBoVAgQJ6U1MVXOaj8PK2l7WJ3RER9xtqwdhxkhw/edit?usp=sharing"",""ปราจีนบุรี!J329"")"),0)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IFERROR(__xludf.DUMMYFUNCTION("IMPORTRANGE(""https://docs.google.com/spreadsheets/d/1SX6NBoVAgQJ6U1MVXOaj8PK2l7WJ3RER9xtqwdhxkhw/edit?usp=sharing"",""ปราจีนบุรี!M330"")"),22240)</f>
        <v>22240</v>
      </c>
      <c r="O435" s="412">
        <f t="shared" ref="O435:O439" ca="1" si="114">+IF(L435&gt;0,N435*100/L435,0)</f>
        <v>29.263157894736842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IFERROR(__xludf.DUMMYFUNCTION("IMPORTRANGE(""https://docs.google.com/spreadsheets/d/1SX6NBoVAgQJ6U1MVXOaj8PK2l7WJ3RER9xtqwdhxkhw/edit?usp=sharing"",""ปราจีนบุรี!L331"")"),0)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IFERROR(__xludf.DUMMYFUNCTION("IMPORTRANGE(""https://docs.google.com/spreadsheets/d/1SX6NBoVAgQJ6U1MVXOaj8PK2l7WJ3RER9xtqwdhxkhw/edit?usp=sharing"",""ปราจีนบุรี!M331"")"),0)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IFERROR(__xludf.DUMMYFUNCTION("IMPORTRANGE(""https://docs.google.com/spreadsheets/d/1SX6NBoVAgQJ6U1MVXOaj8PK2l7WJ3RER9xtqwdhxkhw/edit?usp=sharing"",""ปราจีนบุรี!L332"")"),76000)</f>
        <v>76000</v>
      </c>
      <c r="M437" s="167"/>
      <c r="N437" s="170">
        <f ca="1">IFERROR(__xludf.DUMMYFUNCTION("IMPORTRANGE(""https://docs.google.com/spreadsheets/d/1SX6NBoVAgQJ6U1MVXOaj8PK2l7WJ3RER9xtqwdhxkhw/edit?usp=sharing"",""ปราจีนบุรี!M332"")"),22240)</f>
        <v>22240</v>
      </c>
      <c r="O437" s="170">
        <f t="shared" ca="1" si="114"/>
        <v>29.263157894736842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IFERROR(__xludf.DUMMYFUNCTION("IMPORTRANGE(""https://docs.google.com/spreadsheets/d/1SX6NBoVAgQJ6U1MVXOaj8PK2l7WJ3RER9xtqwdhxkhw/edit?usp=sharing"",""ปราจีนบุรี!L333"")"),0)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IFERROR(__xludf.DUMMYFUNCTION("IMPORTRANGE(""https://docs.google.com/spreadsheets/d/1SX6NBoVAgQJ6U1MVXOaj8PK2l7WJ3RER9xtqwdhxkhw/edit?usp=sharing"",""ปราจีนบุรี!M333"")"),0)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IFERROR(__xludf.DUMMYFUNCTION("IMPORTRANGE(""https://docs.google.com/spreadsheets/d/1SX6NBoVAgQJ6U1MVXOaj8PK2l7WJ3RER9xtqwdhxkhw/edit?usp=sharing"",""ปราจีนบุรี!L334"")"),76000)</f>
        <v>76000</v>
      </c>
      <c r="M439" s="170"/>
      <c r="N439" s="170">
        <f ca="1">IFERROR(__xludf.DUMMYFUNCTION("IMPORTRANGE(""https://docs.google.com/spreadsheets/d/1SX6NBoVAgQJ6U1MVXOaj8PK2l7WJ3RER9xtqwdhxkhw/edit?usp=sharing"",""ปราจีนบุรี!M334"")"),22240)</f>
        <v>22240</v>
      </c>
      <c r="O439" s="170">
        <f t="shared" ca="1" si="114"/>
        <v>29.263157894736842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IFERROR(__xludf.DUMMYFUNCTION("IMPORTRANGE(""https://docs.google.com/spreadsheets/d/1SX6NBoVAgQJ6U1MVXOaj8PK2l7WJ3RER9xtqwdhxkhw/edit?usp=sharing"",""ปราจีนบุรี!M338"")"),0)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IFERROR(__xludf.DUMMYFUNCTION("IMPORTRANGE(""https://docs.google.com/spreadsheets/d/1SX6NBoVAgQJ6U1MVXOaj8PK2l7WJ3RER9xtqwdhxkhw/edit?usp=sharing"",""ปราจีนบุรี!J341"")"),0)</f>
        <v>0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IFERROR(__xludf.DUMMYFUNCTION("IMPORTRANGE(""https://docs.google.com/spreadsheets/d/1SX6NBoVAgQJ6U1MVXOaj8PK2l7WJ3RER9xtqwdhxkhw/edit?usp=sharing"",""ปราจีนบุรี!J342"")"),1)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IFERROR(__xludf.DUMMYFUNCTION("IMPORTRANGE(""https://docs.google.com/spreadsheets/d/1SX6NBoVAgQJ6U1MVXOaj8PK2l7WJ3RER9xtqwdhxkhw/edit?usp=sharing"",""ปราจีนบุรี!J343"")"),0)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2">
        <f ca="1">IFERROR(__xludf.DUMMYFUNCTION("IMPORTRANGE(""https://docs.google.com/spreadsheets/d/1SX6NBoVAgQJ6U1MVXOaj8PK2l7WJ3RER9xtqwdhxkhw/edit?usp=sharing"",""ปราจีนบุรี!J344"")"),10)</f>
        <v>10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IFERROR(__xludf.DUMMYFUNCTION("IMPORTRANGE(""https://docs.google.com/spreadsheets/d/1SX6NBoVAgQJ6U1MVXOaj8PK2l7WJ3RER9xtqwdhxkhw/edit?usp=sharing"",""ปราจีนบุรี!I345"")"),10)</f>
        <v>10</v>
      </c>
      <c r="J450" s="190">
        <f ca="1">IFERROR(__xludf.DUMMYFUNCTION("IMPORTRANGE(""https://docs.google.com/spreadsheets/d/1SX6NBoVAgQJ6U1MVXOaj8PK2l7WJ3RER9xtqwdhxkhw/edit?usp=sharing"",""ปราจีนบุรี!J345"")"),10)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IFERROR(__xludf.DUMMYFUNCTION("IMPORTRANGE(""https://docs.google.com/spreadsheets/d/1SX6NBoVAgQJ6U1MVXOaj8PK2l7WJ3RER9xtqwdhxkhw/edit?usp=sharing"",""ปราจีนบุรี!I346"")"),0)</f>
        <v>0</v>
      </c>
      <c r="J451" s="189">
        <f ca="1">IFERROR(__xludf.DUMMYFUNCTION("IMPORTRANGE(""https://docs.google.com/spreadsheets/d/1SX6NBoVAgQJ6U1MVXOaj8PK2l7WJ3RER9xtqwdhxkhw/edit?usp=sharing"",""ปราจีนบุรี!J346"")"),0)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IFERROR(__xludf.DUMMYFUNCTION("IMPORTRANGE(""https://docs.google.com/spreadsheets/d/1SX6NBoVAgQJ6U1MVXOaj8PK2l7WJ3RER9xtqwdhxkhw/edit?usp=sharing"",""ปราจีนบุรี!I347"")"),0)</f>
        <v>0</v>
      </c>
      <c r="J452" s="189">
        <f ca="1">IFERROR(__xludf.DUMMYFUNCTION("IMPORTRANGE(""https://docs.google.com/spreadsheets/d/1SX6NBoVAgQJ6U1MVXOaj8PK2l7WJ3RER9xtqwdhxkhw/edit?usp=sharing"",""ปราจีนบุรี!J347"")"),0)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IFERROR(__xludf.DUMMYFUNCTION("IMPORTRANGE(""https://docs.google.com/spreadsheets/d/1SX6NBoVAgQJ6U1MVXOaj8PK2l7WJ3RER9xtqwdhxkhw/edit?usp=sharing"",""ปราจีนบุรี!J348"")"),0)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IFERROR(__xludf.DUMMYFUNCTION("IMPORTRANGE(""https://docs.google.com/spreadsheets/d/1SX6NBoVAgQJ6U1MVXOaj8PK2l7WJ3RER9xtqwdhxkhw/edit?usp=sharing"",""ปราจีนบุรี!J349"")"),0)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IFERROR(__xludf.DUMMYFUNCTION("IMPORTRANGE(""https://docs.google.com/spreadsheets/d/1SX6NBoVAgQJ6U1MVXOaj8PK2l7WJ3RER9xtqwdhxkhw/edit?usp=sharing"",""ปราจีนบุรี!I350"")"),2314)</f>
        <v>2314</v>
      </c>
      <c r="J455" s="371">
        <f ca="1">IFERROR(__xludf.DUMMYFUNCTION("IMPORTRANGE(""https://docs.google.com/spreadsheets/d/1SX6NBoVAgQJ6U1MVXOaj8PK2l7WJ3RER9xtqwdhxkhw/edit?usp=sharing"",""ปราจีนบุรี!J350"")"),0)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IFERROR(__xludf.DUMMYFUNCTION("IMPORTRANGE(""https://docs.google.com/spreadsheets/d/1SX6NBoVAgQJ6U1MVXOaj8PK2l7WJ3RER9xtqwdhxkhw/edit?usp=sharing"",""ปราจีนบุรี!L350"")"),57554)</f>
        <v>57554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IFERROR(__xludf.DUMMYFUNCTION("IMPORTRANGE(""https://docs.google.com/spreadsheets/d/1SX6NBoVAgQJ6U1MVXOaj8PK2l7WJ3RER9xtqwdhxkhw/edit?usp=sharing"",""ปราจีนบุรี!L351"")"),0)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IFERROR(__xludf.DUMMYFUNCTION("IMPORTRANGE(""https://docs.google.com/spreadsheets/d/1SX6NBoVAgQJ6U1MVXOaj8PK2l7WJ3RER9xtqwdhxkhw/edit?usp=sharing"",""ปราจีนบุรี!M351"")"),0)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IFERROR(__xludf.DUMMYFUNCTION("IMPORTRANGE(""https://docs.google.com/spreadsheets/d/1SX6NBoVAgQJ6U1MVXOaj8PK2l7WJ3RER9xtqwdhxkhw/edit?usp=sharing"",""ปราจีนบุรี!L352"")"),57554)</f>
        <v>57554</v>
      </c>
      <c r="M457" s="167"/>
      <c r="N457" s="170">
        <f ca="1">IFERROR(__xludf.DUMMYFUNCTION("IMPORTRANGE(""https://docs.google.com/spreadsheets/d/1SX6NBoVAgQJ6U1MVXOaj8PK2l7WJ3RER9xtqwdhxkhw/edit?usp=sharing"",""ปราจีนบุรี!M352"")"),0)</f>
        <v>0</v>
      </c>
      <c r="O457" s="170">
        <f t="shared" ca="1" si="116"/>
        <v>0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IFERROR(__xludf.DUMMYFUNCTION("IMPORTRANGE(""https://docs.google.com/spreadsheets/d/1SX6NBoVAgQJ6U1MVXOaj8PK2l7WJ3RER9xtqwdhxkhw/edit?usp=sharing"",""ปราจีนบุรี!L353"")"),0)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IFERROR(__xludf.DUMMYFUNCTION("IMPORTRANGE(""https://docs.google.com/spreadsheets/d/1SX6NBoVAgQJ6U1MVXOaj8PK2l7WJ3RER9xtqwdhxkhw/edit?usp=sharing"",""ปราจีนบุรี!M353"")"),0)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IFERROR(__xludf.DUMMYFUNCTION("IMPORTRANGE(""https://docs.google.com/spreadsheets/d/1SX6NBoVAgQJ6U1MVXOaj8PK2l7WJ3RER9xtqwdhxkhw/edit?usp=sharing"",""ปราจีนบุรี!L354"")"),57554)</f>
        <v>57554</v>
      </c>
      <c r="M459" s="170"/>
      <c r="N459" s="170">
        <f ca="1">IFERROR(__xludf.DUMMYFUNCTION("IMPORTRANGE(""https://docs.google.com/spreadsheets/d/1SX6NBoVAgQJ6U1MVXOaj8PK2l7WJ3RER9xtqwdhxkhw/edit?usp=sharing"",""ปราจีนบุรี!M354"")"),0)</f>
        <v>0</v>
      </c>
      <c r="O459" s="170">
        <f t="shared" ca="1" si="116"/>
        <v>0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IFERROR(__xludf.DUMMYFUNCTION("IMPORTRANGE(""https://docs.google.com/spreadsheets/d/1SX6NBoVAgQJ6U1MVXOaj8PK2l7WJ3RER9xtqwdhxkhw/edit?usp=sharing"",""ปราจีนบุรี!M355"")"),0)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IFERROR(__xludf.DUMMYFUNCTION("IMPORTRANGE(""https://docs.google.com/spreadsheets/d/1SX6NBoVAgQJ6U1MVXOaj8PK2l7WJ3RER9xtqwdhxkhw/edit?usp=sharing"",""ปราจีนบุรี!M356"")"),0)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IFERROR(__xludf.DUMMYFUNCTION("IMPORTRANGE(""https://docs.google.com/spreadsheets/d/1SX6NBoVAgQJ6U1MVXOaj8PK2l7WJ3RER9xtqwdhxkhw/edit?usp=sharing"",""ปราจีนบุรี!M358"")"),0)</f>
        <v>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IFERROR(__xludf.DUMMYFUNCTION("IMPORTRANGE(""https://docs.google.com/spreadsheets/d/1SX6NBoVAgQJ6U1MVXOaj8PK2l7WJ3RER9xtqwdhxkhw/edit?usp=sharing"",""ปราจีนบุรี!I359"")"),2314)</f>
        <v>2314</v>
      </c>
      <c r="J464" s="268">
        <f ca="1">IFERROR(__xludf.DUMMYFUNCTION("IMPORTRANGE(""https://docs.google.com/spreadsheets/d/1SX6NBoVAgQJ6U1MVXOaj8PK2l7WJ3RER9xtqwdhxkhw/edit?usp=sharing"",""ปราจีนบุรี!J359"")"),0)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IFERROR(__xludf.DUMMYFUNCTION("IMPORTRANGE(""https://docs.google.com/spreadsheets/d/1SX6NBoVAgQJ6U1MVXOaj8PK2l7WJ3RER9xtqwdhxkhw/edit?usp=sharing"",""ปราจีนบุรี!I360"")"),2314)</f>
        <v>2314</v>
      </c>
      <c r="J465" s="420">
        <f ca="1">IFERROR(__xludf.DUMMYFUNCTION("IMPORTRANGE(""https://docs.google.com/spreadsheets/d/1SX6NBoVAgQJ6U1MVXOaj8PK2l7WJ3RER9xtqwdhxkhw/edit?usp=sharing"",""ปราจีนบุรี!J360"")"),0)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IFERROR(__xludf.DUMMYFUNCTION("IMPORTRANGE(""https://docs.google.com/spreadsheets/d/1SX6NBoVAgQJ6U1MVXOaj8PK2l7WJ3RER9xtqwdhxkhw/edit?usp=sharing"",""ปราจีนบุรี!I361"")"),142)</f>
        <v>142</v>
      </c>
      <c r="J466" s="420">
        <f ca="1">IFERROR(__xludf.DUMMYFUNCTION("IMPORTRANGE(""https://docs.google.com/spreadsheets/d/1SX6NBoVAgQJ6U1MVXOaj8PK2l7WJ3RER9xtqwdhxkhw/edit?usp=sharing"",""ปราจีนบุรี!J361"")"),0)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IFERROR(__xludf.DUMMYFUNCTION("IMPORTRANGE(""https://docs.google.com/spreadsheets/d/1SX6NBoVAgQJ6U1MVXOaj8PK2l7WJ3RER9xtqwdhxkhw/edit?usp=sharing"",""ปราจีนบุรี!I362"")"),0)</f>
        <v>0</v>
      </c>
      <c r="J467" s="190">
        <f ca="1">IFERROR(__xludf.DUMMYFUNCTION("IMPORTRANGE(""https://docs.google.com/spreadsheets/d/1SX6NBoVAgQJ6U1MVXOaj8PK2l7WJ3RER9xtqwdhxkhw/edit?usp=sharing"",""ปราจีนบุรี!J362"")"),0)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IFERROR(__xludf.DUMMYFUNCTION("IMPORTRANGE(""https://docs.google.com/spreadsheets/d/1SX6NBoVAgQJ6U1MVXOaj8PK2l7WJ3RER9xtqwdhxkhw/edit?usp=sharing"",""ปราจีนบุรี!I363"")"),0)</f>
        <v>0</v>
      </c>
      <c r="J468" s="190">
        <f ca="1">IFERROR(__xludf.DUMMYFUNCTION("IMPORTRANGE(""https://docs.google.com/spreadsheets/d/1SX6NBoVAgQJ6U1MVXOaj8PK2l7WJ3RER9xtqwdhxkhw/edit?usp=sharing"",""ปราจีนบุรี!J363"")"),0)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IFERROR(__xludf.DUMMYFUNCTION("IMPORTRANGE(""https://docs.google.com/spreadsheets/d/1SX6NBoVAgQJ6U1MVXOaj8PK2l7WJ3RER9xtqwdhxkhw/edit?usp=sharing"",""ปราจีนบุรี!I364"")"),0)</f>
        <v>0</v>
      </c>
      <c r="J469" s="190">
        <f ca="1">IFERROR(__xludf.DUMMYFUNCTION("IMPORTRANGE(""https://docs.google.com/spreadsheets/d/1SX6NBoVAgQJ6U1MVXOaj8PK2l7WJ3RER9xtqwdhxkhw/edit?usp=sharing"",""ปราจีนบุรี!J364"")"),0)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IFERROR(__xludf.DUMMYFUNCTION("IMPORTRANGE(""https://docs.google.com/spreadsheets/d/1SX6NBoVAgQJ6U1MVXOaj8PK2l7WJ3RER9xtqwdhxkhw/edit?usp=sharing"",""ปราจีนบุรี!I365"")"),0)</f>
        <v>0</v>
      </c>
      <c r="J470" s="190">
        <f ca="1">IFERROR(__xludf.DUMMYFUNCTION("IMPORTRANGE(""https://docs.google.com/spreadsheets/d/1SX6NBoVAgQJ6U1MVXOaj8PK2l7WJ3RER9xtqwdhxkhw/edit?usp=sharing"",""ปราจีนบุรี!J365"")"),0)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IFERROR(__xludf.DUMMYFUNCTION("IMPORTRANGE(""https://docs.google.com/spreadsheets/d/1SX6NBoVAgQJ6U1MVXOaj8PK2l7WJ3RER9xtqwdhxkhw/edit?usp=sharing"",""ปราจีนบุรี!I366"")"),0)</f>
        <v>0</v>
      </c>
      <c r="J471" s="190">
        <f ca="1">IFERROR(__xludf.DUMMYFUNCTION("IMPORTRANGE(""https://docs.google.com/spreadsheets/d/1SX6NBoVAgQJ6U1MVXOaj8PK2l7WJ3RER9xtqwdhxkhw/edit?usp=sharing"",""ปราจีนบุรี!J366"")"),0)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IFERROR(__xludf.DUMMYFUNCTION("IMPORTRANGE(""https://docs.google.com/spreadsheets/d/1SX6NBoVAgQJ6U1MVXOaj8PK2l7WJ3RER9xtqwdhxkhw/edit?usp=sharing"",""ปราจีนบุรี!I367"")"),0)</f>
        <v>0</v>
      </c>
      <c r="J472" s="190">
        <f ca="1">IFERROR(__xludf.DUMMYFUNCTION("IMPORTRANGE(""https://docs.google.com/spreadsheets/d/1SX6NBoVAgQJ6U1MVXOaj8PK2l7WJ3RER9xtqwdhxkhw/edit?usp=sharing"",""ปราจีนบุรี!J367"")"),0)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IFERROR(__xludf.DUMMYFUNCTION("IMPORTRANGE(""https://docs.google.com/spreadsheets/d/1SX6NBoVAgQJ6U1MVXOaj8PK2l7WJ3RER9xtqwdhxkhw/edit?usp=sharing"",""ปราจีนบุรี!I368"")"),2314)</f>
        <v>2314</v>
      </c>
      <c r="J473" s="420">
        <f ca="1">IFERROR(__xludf.DUMMYFUNCTION("IMPORTRANGE(""https://docs.google.com/spreadsheets/d/1SX6NBoVAgQJ6U1MVXOaj8PK2l7WJ3RER9xtqwdhxkhw/edit?usp=sharing"",""ปราจีนบุรี!J368"")"),0)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IFERROR(__xludf.DUMMYFUNCTION("IMPORTRANGE(""https://docs.google.com/spreadsheets/d/1SX6NBoVAgQJ6U1MVXOaj8PK2l7WJ3RER9xtqwdhxkhw/edit?usp=sharing"",""ปราจีนบุรี!I369"")"),142)</f>
        <v>142</v>
      </c>
      <c r="J474" s="420">
        <f ca="1">IFERROR(__xludf.DUMMYFUNCTION("IMPORTRANGE(""https://docs.google.com/spreadsheets/d/1SX6NBoVAgQJ6U1MVXOaj8PK2l7WJ3RER9xtqwdhxkhw/edit?usp=sharing"",""ปราจีนบุรี!J369"")"),0)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IFERROR(__xludf.DUMMYFUNCTION("IMPORTRANGE(""https://docs.google.com/spreadsheets/d/1SX6NBoVAgQJ6U1MVXOaj8PK2l7WJ3RER9xtqwdhxkhw/edit?usp=sharing"",""ปราจีนบุรี!I370"")"),0)</f>
        <v>0</v>
      </c>
      <c r="J475" s="190">
        <f ca="1">IFERROR(__xludf.DUMMYFUNCTION("IMPORTRANGE(""https://docs.google.com/spreadsheets/d/1SX6NBoVAgQJ6U1MVXOaj8PK2l7WJ3RER9xtqwdhxkhw/edit?usp=sharing"",""ปราจีนบุรี!J370"")"),0)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IFERROR(__xludf.DUMMYFUNCTION("IMPORTRANGE(""https://docs.google.com/spreadsheets/d/1SX6NBoVAgQJ6U1MVXOaj8PK2l7WJ3RER9xtqwdhxkhw/edit?usp=sharing"",""ปราจีนบุรี!I371"")"),0)</f>
        <v>0</v>
      </c>
      <c r="J476" s="190">
        <f ca="1">IFERROR(__xludf.DUMMYFUNCTION("IMPORTRANGE(""https://docs.google.com/spreadsheets/d/1SX6NBoVAgQJ6U1MVXOaj8PK2l7WJ3RER9xtqwdhxkhw/edit?usp=sharing"",""ปราจีนบุรี!J371"")"),0)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IFERROR(__xludf.DUMMYFUNCTION("IMPORTRANGE(""https://docs.google.com/spreadsheets/d/1SX6NBoVAgQJ6U1MVXOaj8PK2l7WJ3RER9xtqwdhxkhw/edit?usp=sharing"",""ปราจีนบุรี!I372"")"),0)</f>
        <v>0</v>
      </c>
      <c r="J477" s="190">
        <f ca="1">IFERROR(__xludf.DUMMYFUNCTION("IMPORTRANGE(""https://docs.google.com/spreadsheets/d/1SX6NBoVAgQJ6U1MVXOaj8PK2l7WJ3RER9xtqwdhxkhw/edit?usp=sharing"",""ปราจีนบุรี!J372"")"),0)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IFERROR(__xludf.DUMMYFUNCTION("IMPORTRANGE(""https://docs.google.com/spreadsheets/d/1SX6NBoVAgQJ6U1MVXOaj8PK2l7WJ3RER9xtqwdhxkhw/edit?usp=sharing"",""ปราจีนบุรี!I373"")"),0)</f>
        <v>0</v>
      </c>
      <c r="J478" s="190">
        <f ca="1">IFERROR(__xludf.DUMMYFUNCTION("IMPORTRANGE(""https://docs.google.com/spreadsheets/d/1SX6NBoVAgQJ6U1MVXOaj8PK2l7WJ3RER9xtqwdhxkhw/edit?usp=sharing"",""ปราจีนบุรี!J373"")"),0)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IFERROR(__xludf.DUMMYFUNCTION("IMPORTRANGE(""https://docs.google.com/spreadsheets/d/1SX6NBoVAgQJ6U1MVXOaj8PK2l7WJ3RER9xtqwdhxkhw/edit?usp=sharing"",""ปราจีนบุรี!I374"")"),0)</f>
        <v>0</v>
      </c>
      <c r="J479" s="190">
        <f ca="1">IFERROR(__xludf.DUMMYFUNCTION("IMPORTRANGE(""https://docs.google.com/spreadsheets/d/1SX6NBoVAgQJ6U1MVXOaj8PK2l7WJ3RER9xtqwdhxkhw/edit?usp=sharing"",""ปราจีนบุรี!J374"")"),0)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IFERROR(__xludf.DUMMYFUNCTION("IMPORTRANGE(""https://docs.google.com/spreadsheets/d/1SX6NBoVAgQJ6U1MVXOaj8PK2l7WJ3RER9xtqwdhxkhw/edit?usp=sharing"",""ปราจีนบุรี!I375"")"),0)</f>
        <v>0</v>
      </c>
      <c r="J480" s="190">
        <f ca="1">IFERROR(__xludf.DUMMYFUNCTION("IMPORTRANGE(""https://docs.google.com/spreadsheets/d/1SX6NBoVAgQJ6U1MVXOaj8PK2l7WJ3RER9xtqwdhxkhw/edit?usp=sharing"",""ปราจีนบุรี!J375"")"),0)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IFERROR(__xludf.DUMMYFUNCTION("IMPORTRANGE(""https://docs.google.com/spreadsheets/d/1SX6NBoVAgQJ6U1MVXOaj8PK2l7WJ3RER9xtqwdhxkhw/edit?usp=sharing"",""ปราจีนบุรี!I376"")"),2314)</f>
        <v>2314</v>
      </c>
      <c r="J481" s="420">
        <f ca="1">IFERROR(__xludf.DUMMYFUNCTION("IMPORTRANGE(""https://docs.google.com/spreadsheets/d/1SX6NBoVAgQJ6U1MVXOaj8PK2l7WJ3RER9xtqwdhxkhw/edit?usp=sharing"",""ปราจีนบุรี!J376"")"),0)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IFERROR(__xludf.DUMMYFUNCTION("IMPORTRANGE(""https://docs.google.com/spreadsheets/d/1SX6NBoVAgQJ6U1MVXOaj8PK2l7WJ3RER9xtqwdhxkhw/edit?usp=sharing"",""ปราจีนบุรี!I377"")"),142)</f>
        <v>142</v>
      </c>
      <c r="J482" s="420">
        <f ca="1">IFERROR(__xludf.DUMMYFUNCTION("IMPORTRANGE(""https://docs.google.com/spreadsheets/d/1SX6NBoVAgQJ6U1MVXOaj8PK2l7WJ3RER9xtqwdhxkhw/edit?usp=sharing"",""ปราจีนบุรี!J377"")"),0)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IFERROR(__xludf.DUMMYFUNCTION("IMPORTRANGE(""https://docs.google.com/spreadsheets/d/1SX6NBoVAgQJ6U1MVXOaj8PK2l7WJ3RER9xtqwdhxkhw/edit?usp=sharing"",""ปราจีนบุรี!I378"")"),0)</f>
        <v>0</v>
      </c>
      <c r="J483" s="190">
        <f ca="1">IFERROR(__xludf.DUMMYFUNCTION("IMPORTRANGE(""https://docs.google.com/spreadsheets/d/1SX6NBoVAgQJ6U1MVXOaj8PK2l7WJ3RER9xtqwdhxkhw/edit?usp=sharing"",""ปราจีนบุรี!J378"")"),0)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IFERROR(__xludf.DUMMYFUNCTION("IMPORTRANGE(""https://docs.google.com/spreadsheets/d/1SX6NBoVAgQJ6U1MVXOaj8PK2l7WJ3RER9xtqwdhxkhw/edit?usp=sharing"",""ปราจีนบุรี!I379"")"),0)</f>
        <v>0</v>
      </c>
      <c r="J484" s="190">
        <f ca="1">IFERROR(__xludf.DUMMYFUNCTION("IMPORTRANGE(""https://docs.google.com/spreadsheets/d/1SX6NBoVAgQJ6U1MVXOaj8PK2l7WJ3RER9xtqwdhxkhw/edit?usp=sharing"",""ปราจีนบุรี!J379"")"),0)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IFERROR(__xludf.DUMMYFUNCTION("IMPORTRANGE(""https://docs.google.com/spreadsheets/d/1SX6NBoVAgQJ6U1MVXOaj8PK2l7WJ3RER9xtqwdhxkhw/edit?usp=sharing"",""ปราจีนบุรี!I380"")"),0)</f>
        <v>0</v>
      </c>
      <c r="J485" s="190">
        <f ca="1">IFERROR(__xludf.DUMMYFUNCTION("IMPORTRANGE(""https://docs.google.com/spreadsheets/d/1SX6NBoVAgQJ6U1MVXOaj8PK2l7WJ3RER9xtqwdhxkhw/edit?usp=sharing"",""ปราจีนบุรี!J380"")"),0)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IFERROR(__xludf.DUMMYFUNCTION("IMPORTRANGE(""https://docs.google.com/spreadsheets/d/1SX6NBoVAgQJ6U1MVXOaj8PK2l7WJ3RER9xtqwdhxkhw/edit?usp=sharing"",""ปราจีนบุรี!I381"")"),0)</f>
        <v>0</v>
      </c>
      <c r="J486" s="190">
        <f ca="1">IFERROR(__xludf.DUMMYFUNCTION("IMPORTRANGE(""https://docs.google.com/spreadsheets/d/1SX6NBoVAgQJ6U1MVXOaj8PK2l7WJ3RER9xtqwdhxkhw/edit?usp=sharing"",""ปราจีนบุรี!J381"")"),0)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IFERROR(__xludf.DUMMYFUNCTION("IMPORTRANGE(""https://docs.google.com/spreadsheets/d/1SX6NBoVAgQJ6U1MVXOaj8PK2l7WJ3RER9xtqwdhxkhw/edit?usp=sharing"",""ปราจีนบุรี!I384"")"),0)</f>
        <v>0</v>
      </c>
      <c r="J489" s="190">
        <f ca="1">IFERROR(__xludf.DUMMYFUNCTION("IMPORTRANGE(""https://docs.google.com/spreadsheets/d/1SX6NBoVAgQJ6U1MVXOaj8PK2l7WJ3RER9xtqwdhxkhw/edit?usp=sharing"",""ปราจีนบุรี!J384"")"),0)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IFERROR(__xludf.DUMMYFUNCTION("IMPORTRANGE(""https://docs.google.com/spreadsheets/d/1SX6NBoVAgQJ6U1MVXOaj8PK2l7WJ3RER9xtqwdhxkhw/edit?usp=sharing"",""ปราจีนบุรี!I385"")"),0)</f>
        <v>0</v>
      </c>
      <c r="J490" s="190">
        <f ca="1">IFERROR(__xludf.DUMMYFUNCTION("IMPORTRANGE(""https://docs.google.com/spreadsheets/d/1SX6NBoVAgQJ6U1MVXOaj8PK2l7WJ3RER9xtqwdhxkhw/edit?usp=sharing"",""ปราจีนบุรี!J385"")"),0)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IFERROR(__xludf.DUMMYFUNCTION("IMPORTRANGE(""https://docs.google.com/spreadsheets/d/1SX6NBoVAgQJ6U1MVXOaj8PK2l7WJ3RER9xtqwdhxkhw/edit?usp=sharing"",""ปราจีนบุรี!I386"")"),0)</f>
        <v>0</v>
      </c>
      <c r="J491" s="190">
        <f ca="1">IFERROR(__xludf.DUMMYFUNCTION("IMPORTRANGE(""https://docs.google.com/spreadsheets/d/1SX6NBoVAgQJ6U1MVXOaj8PK2l7WJ3RER9xtqwdhxkhw/edit?usp=sharing"",""ปราจีนบุรี!J386"")"),0)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IFERROR(__xludf.DUMMYFUNCTION("IMPORTRANGE(""https://docs.google.com/spreadsheets/d/1SX6NBoVAgQJ6U1MVXOaj8PK2l7WJ3RER9xtqwdhxkhw/edit?usp=sharing"",""ปราจีนบุรี!I387"")"),0)</f>
        <v>0</v>
      </c>
      <c r="J492" s="190">
        <f ca="1">IFERROR(__xludf.DUMMYFUNCTION("IMPORTRANGE(""https://docs.google.com/spreadsheets/d/1SX6NBoVAgQJ6U1MVXOaj8PK2l7WJ3RER9xtqwdhxkhw/edit?usp=sharing"",""ปราจีนบุรี!J387"")"),0)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IFERROR(__xludf.DUMMYFUNCTION("IMPORTRANGE(""https://docs.google.com/spreadsheets/d/1SX6NBoVAgQJ6U1MVXOaj8PK2l7WJ3RER9xtqwdhxkhw/edit?usp=sharing"",""ปราจีนบุรี!I388"")"),0)</f>
        <v>0</v>
      </c>
      <c r="J493" s="190">
        <f ca="1">IFERROR(__xludf.DUMMYFUNCTION("IMPORTRANGE(""https://docs.google.com/spreadsheets/d/1SX6NBoVAgQJ6U1MVXOaj8PK2l7WJ3RER9xtqwdhxkhw/edit?usp=sharing"",""ปราจีนบุรี!J388"")"),0)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IFERROR(__xludf.DUMMYFUNCTION("IMPORTRANGE(""https://docs.google.com/spreadsheets/d/1SX6NBoVAgQJ6U1MVXOaj8PK2l7WJ3RER9xtqwdhxkhw/edit?usp=sharing"",""ปราจีนบุรี!I395"")"),0)</f>
        <v>0</v>
      </c>
      <c r="J500" s="164">
        <f ca="1">IFERROR(__xludf.DUMMYFUNCTION("IMPORTRANGE(""https://docs.google.com/spreadsheets/d/1SX6NBoVAgQJ6U1MVXOaj8PK2l7WJ3RER9xtqwdhxkhw/edit?usp=sharing"",""ปราจีนบุรี!J395"")"),0)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IFERROR(__xludf.DUMMYFUNCTION("IMPORTRANGE(""https://docs.google.com/spreadsheets/d/1SX6NBoVAgQJ6U1MVXOaj8PK2l7WJ3RER9xtqwdhxkhw/edit?usp=sharing"",""ปราจีนบุรี!I396"")"),0)</f>
        <v>0</v>
      </c>
      <c r="J501" s="164">
        <f ca="1">IFERROR(__xludf.DUMMYFUNCTION("IMPORTRANGE(""https://docs.google.com/spreadsheets/d/1SX6NBoVAgQJ6U1MVXOaj8PK2l7WJ3RER9xtqwdhxkhw/edit?usp=sharing"",""ปราจีนบุรี!J396"")"),0)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IFERROR(__xludf.DUMMYFUNCTION("IMPORTRANGE(""https://docs.google.com/spreadsheets/d/1SX6NBoVAgQJ6U1MVXOaj8PK2l7WJ3RER9xtqwdhxkhw/edit?usp=sharing"",""ปราจีนบุรี!I397"")"),0)</f>
        <v>0</v>
      </c>
      <c r="J502" s="190">
        <f ca="1">IFERROR(__xludf.DUMMYFUNCTION("IMPORTRANGE(""https://docs.google.com/spreadsheets/d/1SX6NBoVAgQJ6U1MVXOaj8PK2l7WJ3RER9xtqwdhxkhw/edit?usp=sharing"",""ปราจีนบุรี!J397"")"),0)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IFERROR(__xludf.DUMMYFUNCTION("IMPORTRANGE(""https://docs.google.com/spreadsheets/d/1SX6NBoVAgQJ6U1MVXOaj8PK2l7WJ3RER9xtqwdhxkhw/edit?usp=sharing"",""ปราจีนบุรี!I398"")"),0)</f>
        <v>0</v>
      </c>
      <c r="J503" s="199">
        <f ca="1">IFERROR(__xludf.DUMMYFUNCTION("IMPORTRANGE(""https://docs.google.com/spreadsheets/d/1SX6NBoVAgQJ6U1MVXOaj8PK2l7WJ3RER9xtqwdhxkhw/edit?usp=sharing"",""ปราจีนบุรี!J398"")"),0)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IFERROR(__xludf.DUMMYFUNCTION("IMPORTRANGE(""https://docs.google.com/spreadsheets/d/1SX6NBoVAgQJ6U1MVXOaj8PK2l7WJ3RER9xtqwdhxkhw/edit?usp=sharing"",""ปราจีนบุรี!I399"")"),0)</f>
        <v>0</v>
      </c>
      <c r="J504" s="190">
        <f ca="1">IFERROR(__xludf.DUMMYFUNCTION("IMPORTRANGE(""https://docs.google.com/spreadsheets/d/1SX6NBoVAgQJ6U1MVXOaj8PK2l7WJ3RER9xtqwdhxkhw/edit?usp=sharing"",""ปราจีนบุรี!J399"")"),0)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IFERROR(__xludf.DUMMYFUNCTION("IMPORTRANGE(""https://docs.google.com/spreadsheets/d/1SX6NBoVAgQJ6U1MVXOaj8PK2l7WJ3RER9xtqwdhxkhw/edit?usp=sharing"",""ปราจีนบุรี!I400"")"),0)</f>
        <v>0</v>
      </c>
      <c r="J505" s="199">
        <f ca="1">IFERROR(__xludf.DUMMYFUNCTION("IMPORTRANGE(""https://docs.google.com/spreadsheets/d/1SX6NBoVAgQJ6U1MVXOaj8PK2l7WJ3RER9xtqwdhxkhw/edit?usp=sharing"",""ปราจีนบุรี!J400"")"),0)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IFERROR(__xludf.DUMMYFUNCTION("IMPORTRANGE(""https://docs.google.com/spreadsheets/d/1SX6NBoVAgQJ6U1MVXOaj8PK2l7WJ3RER9xtqwdhxkhw/edit?usp=sharing"",""ปราจีนบุรี!I401"")"),0)</f>
        <v>0</v>
      </c>
      <c r="J506" s="190">
        <f ca="1">IFERROR(__xludf.DUMMYFUNCTION("IMPORTRANGE(""https://docs.google.com/spreadsheets/d/1SX6NBoVAgQJ6U1MVXOaj8PK2l7WJ3RER9xtqwdhxkhw/edit?usp=sharing"",""ปราจีนบุรี!J401"")"),0)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IFERROR(__xludf.DUMMYFUNCTION("IMPORTRANGE(""https://docs.google.com/spreadsheets/d/1SX6NBoVAgQJ6U1MVXOaj8PK2l7WJ3RER9xtqwdhxkhw/edit?usp=sharing"",""ปราจีนบุรี!I402"")"),0)</f>
        <v>0</v>
      </c>
      <c r="J507" s="199">
        <f ca="1">IFERROR(__xludf.DUMMYFUNCTION("IMPORTRANGE(""https://docs.google.com/spreadsheets/d/1SX6NBoVAgQJ6U1MVXOaj8PK2l7WJ3RER9xtqwdhxkhw/edit?usp=sharing"",""ปราจีนบุรี!J402"")"),0)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IFERROR(__xludf.DUMMYFUNCTION("IMPORTRANGE(""https://docs.google.com/spreadsheets/d/1SX6NBoVAgQJ6U1MVXOaj8PK2l7WJ3RER9xtqwdhxkhw/edit?usp=sharing"",""ปราจีนบุรี!I403"")"),0)</f>
        <v>0</v>
      </c>
      <c r="J508" s="164">
        <f ca="1">IFERROR(__xludf.DUMMYFUNCTION("IMPORTRANGE(""https://docs.google.com/spreadsheets/d/1SX6NBoVAgQJ6U1MVXOaj8PK2l7WJ3RER9xtqwdhxkhw/edit?usp=sharing"",""ปราจีนบุรี!J403"")"),0)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IFERROR(__xludf.DUMMYFUNCTION("IMPORTRANGE(""https://docs.google.com/spreadsheets/d/1SX6NBoVAgQJ6U1MVXOaj8PK2l7WJ3RER9xtqwdhxkhw/edit?usp=sharing"",""ปราจีนบุรี!I404"")"),0)</f>
        <v>0</v>
      </c>
      <c r="J509" s="164">
        <f ca="1">IFERROR(__xludf.DUMMYFUNCTION("IMPORTRANGE(""https://docs.google.com/spreadsheets/d/1SX6NBoVAgQJ6U1MVXOaj8PK2l7WJ3RER9xtqwdhxkhw/edit?usp=sharing"",""ปราจีนบุรี!J404"")"),0)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IFERROR(__xludf.DUMMYFUNCTION("IMPORTRANGE(""https://docs.google.com/spreadsheets/d/1SX6NBoVAgQJ6U1MVXOaj8PK2l7WJ3RER9xtqwdhxkhw/edit?usp=sharing"",""ปราจีนบุรี!I405"")"),0)</f>
        <v>0</v>
      </c>
      <c r="J510" s="199">
        <f ca="1">IFERROR(__xludf.DUMMYFUNCTION("IMPORTRANGE(""https://docs.google.com/spreadsheets/d/1SX6NBoVAgQJ6U1MVXOaj8PK2l7WJ3RER9xtqwdhxkhw/edit?usp=sharing"",""ปราจีนบุรี!J405"")"),0)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IFERROR(__xludf.DUMMYFUNCTION("IMPORTRANGE(""https://docs.google.com/spreadsheets/d/1SX6NBoVAgQJ6U1MVXOaj8PK2l7WJ3RER9xtqwdhxkhw/edit?usp=sharing"",""ปราจีนบุรี!I406"")"),0)</f>
        <v>0</v>
      </c>
      <c r="J511" s="199">
        <f ca="1">IFERROR(__xludf.DUMMYFUNCTION("IMPORTRANGE(""https://docs.google.com/spreadsheets/d/1SX6NBoVAgQJ6U1MVXOaj8PK2l7WJ3RER9xtqwdhxkhw/edit?usp=sharing"",""ปราจีนบุรี!J406"")"),0)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IFERROR(__xludf.DUMMYFUNCTION("IMPORTRANGE(""https://docs.google.com/spreadsheets/d/1SX6NBoVAgQJ6U1MVXOaj8PK2l7WJ3RER9xtqwdhxkhw/edit?usp=sharing"",""ปราจีนบุรี!I407"")"),0)</f>
        <v>0</v>
      </c>
      <c r="J512" s="199">
        <f ca="1">IFERROR(__xludf.DUMMYFUNCTION("IMPORTRANGE(""https://docs.google.com/spreadsheets/d/1SX6NBoVAgQJ6U1MVXOaj8PK2l7WJ3RER9xtqwdhxkhw/edit?usp=sharing"",""ปราจีนบุรี!J407"")"),0)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IFERROR(__xludf.DUMMYFUNCTION("IMPORTRANGE(""https://docs.google.com/spreadsheets/d/1SX6NBoVAgQJ6U1MVXOaj8PK2l7WJ3RER9xtqwdhxkhw/edit?usp=sharing"",""ปราจีนบุรี!I408"")"),0)</f>
        <v>0</v>
      </c>
      <c r="J513" s="199">
        <f ca="1">IFERROR(__xludf.DUMMYFUNCTION("IMPORTRANGE(""https://docs.google.com/spreadsheets/d/1SX6NBoVAgQJ6U1MVXOaj8PK2l7WJ3RER9xtqwdhxkhw/edit?usp=sharing"",""ปราจีนบุรี!J408"")"),0)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IFERROR(__xludf.DUMMYFUNCTION("IMPORTRANGE(""https://docs.google.com/spreadsheets/d/1SX6NBoVAgQJ6U1MVXOaj8PK2l7WJ3RER9xtqwdhxkhw/edit?usp=sharing"",""ปราจีนบุรี!I409"")"),0)</f>
        <v>0</v>
      </c>
      <c r="J514" s="199">
        <f ca="1">IFERROR(__xludf.DUMMYFUNCTION("IMPORTRANGE(""https://docs.google.com/spreadsheets/d/1SX6NBoVAgQJ6U1MVXOaj8PK2l7WJ3RER9xtqwdhxkhw/edit?usp=sharing"",""ปราจีนบุรี!J409"")"),0)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IFERROR(__xludf.DUMMYFUNCTION("IMPORTRANGE(""https://docs.google.com/spreadsheets/d/1SX6NBoVAgQJ6U1MVXOaj8PK2l7WJ3RER9xtqwdhxkhw/edit?usp=sharing"",""ปราจีนบุรี!I410"")"),0)</f>
        <v>0</v>
      </c>
      <c r="J515" s="199">
        <f ca="1">IFERROR(__xludf.DUMMYFUNCTION("IMPORTRANGE(""https://docs.google.com/spreadsheets/d/1SX6NBoVAgQJ6U1MVXOaj8PK2l7WJ3RER9xtqwdhxkhw/edit?usp=sharing"",""ปราจีนบุรี!J410"")"),0)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IFERROR(__xludf.DUMMYFUNCTION("IMPORTRANGE(""https://docs.google.com/spreadsheets/d/1SX6NBoVAgQJ6U1MVXOaj8PK2l7WJ3RER9xtqwdhxkhw/edit?usp=sharing"",""ปราจีนบุรี!I412"")"),0)</f>
        <v>0</v>
      </c>
      <c r="J517" s="284">
        <f ca="1">IFERROR(__xludf.DUMMYFUNCTION("IMPORTRANGE(""https://docs.google.com/spreadsheets/d/1SX6NBoVAgQJ6U1MVXOaj8PK2l7WJ3RER9xtqwdhxkhw/edit?usp=sharing"",""ปราจีนบุรี!J412"")"),0)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IFERROR(__xludf.DUMMYFUNCTION("IMPORTRANGE(""https://docs.google.com/spreadsheets/d/1SX6NBoVAgQJ6U1MVXOaj8PK2l7WJ3RER9xtqwdhxkhw/edit?usp=sharing"",""ปราจีนบุรี!I413"")"),0)</f>
        <v>0</v>
      </c>
      <c r="J518" s="284">
        <f ca="1">IFERROR(__xludf.DUMMYFUNCTION("IMPORTRANGE(""https://docs.google.com/spreadsheets/d/1SX6NBoVAgQJ6U1MVXOaj8PK2l7WJ3RER9xtqwdhxkhw/edit?usp=sharing"",""ปราจีนบุรี!J413"")"),0)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IFERROR(__xludf.DUMMYFUNCTION("IMPORTRANGE(""https://docs.google.com/spreadsheets/d/1SX6NBoVAgQJ6U1MVXOaj8PK2l7WJ3RER9xtqwdhxkhw/edit?usp=sharing"",""ปราจีนบุรี!I414"")"),0)</f>
        <v>0</v>
      </c>
      <c r="J519" s="189">
        <f ca="1">IFERROR(__xludf.DUMMYFUNCTION("IMPORTRANGE(""https://docs.google.com/spreadsheets/d/1SX6NBoVAgQJ6U1MVXOaj8PK2l7WJ3RER9xtqwdhxkhw/edit?usp=sharing"",""ปราจีนบุรี!J414"")"),0)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IFERROR(__xludf.DUMMYFUNCTION("IMPORTRANGE(""https://docs.google.com/spreadsheets/d/1SX6NBoVAgQJ6U1MVXOaj8PK2l7WJ3RER9xtqwdhxkhw/edit?usp=sharing"",""ปราจีนบุรี!I415"")"),0)</f>
        <v>0</v>
      </c>
      <c r="J520" s="189">
        <f ca="1">IFERROR(__xludf.DUMMYFUNCTION("IMPORTRANGE(""https://docs.google.com/spreadsheets/d/1SX6NBoVAgQJ6U1MVXOaj8PK2l7WJ3RER9xtqwdhxkhw/edit?usp=sharing"",""ปราจีนบุรี!J415"")"),0)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IFERROR(__xludf.DUMMYFUNCTION("IMPORTRANGE(""https://docs.google.com/spreadsheets/d/1SX6NBoVAgQJ6U1MVXOaj8PK2l7WJ3RER9xtqwdhxkhw/edit?usp=sharing"",""ปราจีนบุรี!I416"")"),0)</f>
        <v>0</v>
      </c>
      <c r="J521" s="189">
        <f ca="1">IFERROR(__xludf.DUMMYFUNCTION("IMPORTRANGE(""https://docs.google.com/spreadsheets/d/1SX6NBoVAgQJ6U1MVXOaj8PK2l7WJ3RER9xtqwdhxkhw/edit?usp=sharing"",""ปราจีนบุรี!J416"")"),0)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IFERROR(__xludf.DUMMYFUNCTION("IMPORTRANGE(""https://docs.google.com/spreadsheets/d/1SX6NBoVAgQJ6U1MVXOaj8PK2l7WJ3RER9xtqwdhxkhw/edit?usp=sharing"",""ปราจีนบุรี!I417"")"),0)</f>
        <v>0</v>
      </c>
      <c r="J522" s="189">
        <f ca="1">IFERROR(__xludf.DUMMYFUNCTION("IMPORTRANGE(""https://docs.google.com/spreadsheets/d/1SX6NBoVAgQJ6U1MVXOaj8PK2l7WJ3RER9xtqwdhxkhw/edit?usp=sharing"",""ปราจีนบุรี!J417"")"),0)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IFERROR(__xludf.DUMMYFUNCTION("IMPORTRANGE(""https://docs.google.com/spreadsheets/d/1SX6NBoVAgQJ6U1MVXOaj8PK2l7WJ3RER9xtqwdhxkhw/edit?usp=sharing"",""ปราจีนบุรี!I418"")"),0)</f>
        <v>0</v>
      </c>
      <c r="J523" s="189">
        <f ca="1">IFERROR(__xludf.DUMMYFUNCTION("IMPORTRANGE(""https://docs.google.com/spreadsheets/d/1SX6NBoVAgQJ6U1MVXOaj8PK2l7WJ3RER9xtqwdhxkhw/edit?usp=sharing"",""ปราจีนบุรี!J418"")"),0)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IFERROR(__xludf.DUMMYFUNCTION("IMPORTRANGE(""https://docs.google.com/spreadsheets/d/1SX6NBoVAgQJ6U1MVXOaj8PK2l7WJ3RER9xtqwdhxkhw/edit?usp=sharing"",""ปราจีนบุรี!I419"")"),0)</f>
        <v>0</v>
      </c>
      <c r="J524" s="189">
        <f ca="1">IFERROR(__xludf.DUMMYFUNCTION("IMPORTRANGE(""https://docs.google.com/spreadsheets/d/1SX6NBoVAgQJ6U1MVXOaj8PK2l7WJ3RER9xtqwdhxkhw/edit?usp=sharing"",""ปราจีนบุรี!J419"")"),0)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IFERROR(__xludf.DUMMYFUNCTION("IMPORTRANGE(""https://docs.google.com/spreadsheets/d/1SX6NBoVAgQJ6U1MVXOaj8PK2l7WJ3RER9xtqwdhxkhw/edit?usp=sharing"",""ปราจีนบุรี!I420"")"),0)</f>
        <v>0</v>
      </c>
      <c r="J525" s="284">
        <f ca="1">IFERROR(__xludf.DUMMYFUNCTION("IMPORTRANGE(""https://docs.google.com/spreadsheets/d/1SX6NBoVAgQJ6U1MVXOaj8PK2l7WJ3RER9xtqwdhxkhw/edit?usp=sharing"",""ปราจีนบุรี!J420"")"),0)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IFERROR(__xludf.DUMMYFUNCTION("IMPORTRANGE(""https://docs.google.com/spreadsheets/d/1SX6NBoVAgQJ6U1MVXOaj8PK2l7WJ3RER9xtqwdhxkhw/edit?usp=sharing"",""ปราจีนบุรี!I421"")"),0)</f>
        <v>0</v>
      </c>
      <c r="J526" s="284">
        <f ca="1">IFERROR(__xludf.DUMMYFUNCTION("IMPORTRANGE(""https://docs.google.com/spreadsheets/d/1SX6NBoVAgQJ6U1MVXOaj8PK2l7WJ3RER9xtqwdhxkhw/edit?usp=sharing"",""ปราจีนบุรี!J421"")"),0)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IFERROR(__xludf.DUMMYFUNCTION("IMPORTRANGE(""https://docs.google.com/spreadsheets/d/1SX6NBoVAgQJ6U1MVXOaj8PK2l7WJ3RER9xtqwdhxkhw/edit?usp=sharing"",""ปราจีนบุรี!I422"")"),0)</f>
        <v>0</v>
      </c>
      <c r="J527" s="199">
        <f ca="1">IFERROR(__xludf.DUMMYFUNCTION("IMPORTRANGE(""https://docs.google.com/spreadsheets/d/1SX6NBoVAgQJ6U1MVXOaj8PK2l7WJ3RER9xtqwdhxkhw/edit?usp=sharing"",""ปราจีนบุรี!J422"")"),0)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IFERROR(__xludf.DUMMYFUNCTION("IMPORTRANGE(""https://docs.google.com/spreadsheets/d/1SX6NBoVAgQJ6U1MVXOaj8PK2l7WJ3RER9xtqwdhxkhw/edit?usp=sharing"",""ปราจีนบุรี!I423"")"),0)</f>
        <v>0</v>
      </c>
      <c r="J528" s="199">
        <f ca="1">IFERROR(__xludf.DUMMYFUNCTION("IMPORTRANGE(""https://docs.google.com/spreadsheets/d/1SX6NBoVAgQJ6U1MVXOaj8PK2l7WJ3RER9xtqwdhxkhw/edit?usp=sharing"",""ปราจีนบุรี!J423"")"),0)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IFERROR(__xludf.DUMMYFUNCTION("IMPORTRANGE(""https://docs.google.com/spreadsheets/d/1SX6NBoVAgQJ6U1MVXOaj8PK2l7WJ3RER9xtqwdhxkhw/edit?usp=sharing"",""ปราจีนบุรี!I424"")"),0)</f>
        <v>0</v>
      </c>
      <c r="J529" s="199">
        <f ca="1">IFERROR(__xludf.DUMMYFUNCTION("IMPORTRANGE(""https://docs.google.com/spreadsheets/d/1SX6NBoVAgQJ6U1MVXOaj8PK2l7WJ3RER9xtqwdhxkhw/edit?usp=sharing"",""ปราจีนบุรี!J424"")"),0)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IFERROR(__xludf.DUMMYFUNCTION("IMPORTRANGE(""https://docs.google.com/spreadsheets/d/1SX6NBoVAgQJ6U1MVXOaj8PK2l7WJ3RER9xtqwdhxkhw/edit?usp=sharing"",""ปราจีนบุรี!I425"")"),0)</f>
        <v>0</v>
      </c>
      <c r="J530" s="199">
        <f ca="1">IFERROR(__xludf.DUMMYFUNCTION("IMPORTRANGE(""https://docs.google.com/spreadsheets/d/1SX6NBoVAgQJ6U1MVXOaj8PK2l7WJ3RER9xtqwdhxkhw/edit?usp=sharing"",""ปราจีนบุรี!J425"")"),0)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IFERROR(__xludf.DUMMYFUNCTION("IMPORTRANGE(""https://docs.google.com/spreadsheets/d/1SX6NBoVAgQJ6U1MVXOaj8PK2l7WJ3RER9xtqwdhxkhw/edit?usp=sharing"",""ปราจีนบุรี!I426"")"),0)</f>
        <v>0</v>
      </c>
      <c r="J531" s="199">
        <f ca="1">IFERROR(__xludf.DUMMYFUNCTION("IMPORTRANGE(""https://docs.google.com/spreadsheets/d/1SX6NBoVAgQJ6U1MVXOaj8PK2l7WJ3RER9xtqwdhxkhw/edit?usp=sharing"",""ปราจีนบุรี!J426"")"),0)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IFERROR(__xludf.DUMMYFUNCTION("IMPORTRANGE(""https://docs.google.com/spreadsheets/d/1SX6NBoVAgQJ6U1MVXOaj8PK2l7WJ3RER9xtqwdhxkhw/edit?usp=sharing"",""ปราจีนบุรี!M428"")"),0)</f>
        <v>0</v>
      </c>
      <c r="O533" s="412">
        <f t="shared" ref="O533:O537" ca="1" si="118">+IF(L533&gt;0,N533*100/L533,0)</f>
        <v>0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IFERROR(__xludf.DUMMYFUNCTION("IMPORTRANGE(""https://docs.google.com/spreadsheets/d/1SX6NBoVAgQJ6U1MVXOaj8PK2l7WJ3RER9xtqwdhxkhw/edit?usp=sharing"",""ปราจีนบุรี!L429"")"),0)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IFERROR(__xludf.DUMMYFUNCTION("IMPORTRANGE(""https://docs.google.com/spreadsheets/d/1SX6NBoVAgQJ6U1MVXOaj8PK2l7WJ3RER9xtqwdhxkhw/edit?usp=sharing"",""ปราจีนบุรี!M429"")"),0)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IFERROR(__xludf.DUMMYFUNCTION("IMPORTRANGE(""https://docs.google.com/spreadsheets/d/1SX6NBoVAgQJ6U1MVXOaj8PK2l7WJ3RER9xtqwdhxkhw/edit?usp=sharing"",""ปราจีนบุรี!L430"")"),34340)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IFERROR(__xludf.DUMMYFUNCTION("IMPORTRANGE(""https://docs.google.com/spreadsheets/d/1SX6NBoVAgQJ6U1MVXOaj8PK2l7WJ3RER9xtqwdhxkhw/edit?usp=sharing"",""ปราจีนบุรี!M430"")"),0)</f>
        <v>0</v>
      </c>
      <c r="O535" s="170">
        <f t="shared" ca="1" si="118"/>
        <v>0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IFERROR(__xludf.DUMMYFUNCTION("IMPORTRANGE(""https://docs.google.com/spreadsheets/d/1SX6NBoVAgQJ6U1MVXOaj8PK2l7WJ3RER9xtqwdhxkhw/edit?usp=sharing"",""ปราจีนบุรี!L431"")"),0)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IFERROR(__xludf.DUMMYFUNCTION("IMPORTRANGE(""https://docs.google.com/spreadsheets/d/1SX6NBoVAgQJ6U1MVXOaj8PK2l7WJ3RER9xtqwdhxkhw/edit?usp=sharing"",""ปราจีนบุรี!M431"")"),0)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IFERROR(__xludf.DUMMYFUNCTION("IMPORTRANGE(""https://docs.google.com/spreadsheets/d/1SX6NBoVAgQJ6U1MVXOaj8PK2l7WJ3RER9xtqwdhxkhw/edit?usp=sharing"",""ปราจีนบุรี!L432"")"),34340)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IFERROR(__xludf.DUMMYFUNCTION("IMPORTRANGE(""https://docs.google.com/spreadsheets/d/1SX6NBoVAgQJ6U1MVXOaj8PK2l7WJ3RER9xtqwdhxkhw/edit?usp=sharing"",""ปราจีนบุรี!M432"")"),0)</f>
        <v>0</v>
      </c>
      <c r="O537" s="170">
        <f t="shared" ca="1" si="118"/>
        <v>0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IFERROR(__xludf.DUMMYFUNCTION("IMPORTRANGE(""https://docs.google.com/spreadsheets/d/1SX6NBoVAgQJ6U1MVXOaj8PK2l7WJ3RER9xtqwdhxkhw/edit?usp=sharing"",""ปราจีนบุรี!M433"")"),0)</f>
        <v>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IFERROR(__xludf.DUMMYFUNCTION("IMPORTRANGE(""https://docs.google.com/spreadsheets/d/1SX6NBoVAgQJ6U1MVXOaj8PK2l7WJ3RER9xtqwdhxkhw/edit?usp=sharing"",""ปราจีนบุรี!M436"")"),0)</f>
        <v>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IFERROR(__xludf.DUMMYFUNCTION("IMPORTRANGE(""https://docs.google.com/spreadsheets/d/1SX6NBoVAgQJ6U1MVXOaj8PK2l7WJ3RER9xtqwdhxkhw/edit?usp=sharing"",""ปราจีนบุรี!J438"")"),1)</f>
        <v>1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IFERROR(__xludf.DUMMYFUNCTION("IMPORTRANGE(""https://docs.google.com/spreadsheets/d/1SX6NBoVAgQJ6U1MVXOaj8PK2l7WJ3RER9xtqwdhxkhw/edit?usp=sharing"",""ปราจีนบุรี!J439"")"),0)</f>
        <v>0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IFERROR(__xludf.DUMMYFUNCTION("IMPORTRANGE(""https://docs.google.com/spreadsheets/d/1SX6NBoVAgQJ6U1MVXOaj8PK2l7WJ3RER9xtqwdhxkhw/edit?usp=sharing"",""ปราจีนบุรี!J440"")"),0)</f>
        <v>0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IFERROR(__xludf.DUMMYFUNCTION("IMPORTRANGE(""https://docs.google.com/spreadsheets/d/1SX6NBoVAgQJ6U1MVXOaj8PK2l7WJ3RER9xtqwdhxkhw/edit?usp=sharing"",""ปราจีนบุรี!J441"")"),0)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IFERROR(__xludf.DUMMYFUNCTION("IMPORTRANGE(""https://docs.google.com/spreadsheets/d/1SX6NBoVAgQJ6U1MVXOaj8PK2l7WJ3RER9xtqwdhxkhw/edit?usp=sharing"",""ปราจีนบุรี!I442"")"),22)</f>
        <v>22</v>
      </c>
      <c r="J547" s="190">
        <f ca="1">IFERROR(__xludf.DUMMYFUNCTION("IMPORTRANGE(""https://docs.google.com/spreadsheets/d/1SX6NBoVAgQJ6U1MVXOaj8PK2l7WJ3RER9xtqwdhxkhw/edit?usp=sharing"",""ปราจีนบุรี!J442"")"),0)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IFERROR(__xludf.DUMMYFUNCTION("IMPORTRANGE(""https://docs.google.com/spreadsheets/d/1SX6NBoVAgQJ6U1MVXOaj8PK2l7WJ3RER9xtqwdhxkhw/edit?usp=sharing"",""ปราจีนบุรี!J166"")"),0)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IFERROR(__xludf.DUMMYFUNCTION("IMPORTRANGE(""https://docs.google.com/spreadsheets/d/1SX6NBoVAgQJ6U1MVXOaj8PK2l7WJ3RER9xtqwdhxkhw/edit?usp=sharing"",""ปราจีนบุรี!J444"")"),0)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IFERROR(__xludf.DUMMYFUNCTION("IMPORTRANGE(""https://docs.google.com/spreadsheets/d/1SX6NBoVAgQJ6U1MVXOaj8PK2l7WJ3RER9xtqwdhxkhw/edit?usp=sharing"",""ปราจีนบุรี!L447"")"),0)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IFERROR(__xludf.DUMMYFUNCTION("IMPORTRANGE(""https://docs.google.com/spreadsheets/d/1SX6NBoVAgQJ6U1MVXOaj8PK2l7WJ3RER9xtqwdhxkhw/edit?usp=sharing"",""ปราจีนบุรี!M447"")"),0)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IFERROR(__xludf.DUMMYFUNCTION("IMPORTRANGE(""https://docs.google.com/spreadsheets/d/1SX6NBoVAgQJ6U1MVXOaj8PK2l7WJ3RER9xtqwdhxkhw/edit?usp=sharing"",""ปราจีนบุรี!L448"")"),0)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IFERROR(__xludf.DUMMYFUNCTION("IMPORTRANGE(""https://docs.google.com/spreadsheets/d/1SX6NBoVAgQJ6U1MVXOaj8PK2l7WJ3RER9xtqwdhxkhw/edit?usp=sharing"",""ปราจีนบุรี!M448"")"),0)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IFERROR(__xludf.DUMMYFUNCTION("IMPORTRANGE(""https://docs.google.com/spreadsheets/d/1SX6NBoVAgQJ6U1MVXOaj8PK2l7WJ3RER9xtqwdhxkhw/edit?usp=sharing"",""ปราจีนบุรี!L449"")"),0)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IFERROR(__xludf.DUMMYFUNCTION("IMPORTRANGE(""https://docs.google.com/spreadsheets/d/1SX6NBoVAgQJ6U1MVXOaj8PK2l7WJ3RER9xtqwdhxkhw/edit?usp=sharing"",""ปราจีนบุรี!M449"")"),0)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IFERROR(__xludf.DUMMYFUNCTION("IMPORTRANGE(""https://docs.google.com/spreadsheets/d/1SX6NBoVAgQJ6U1MVXOaj8PK2l7WJ3RER9xtqwdhxkhw/edit?usp=sharing"",""ปราจีนบุรี!L450"")"),0)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IFERROR(__xludf.DUMMYFUNCTION("IMPORTRANGE(""https://docs.google.com/spreadsheets/d/1SX6NBoVAgQJ6U1MVXOaj8PK2l7WJ3RER9xtqwdhxkhw/edit?usp=sharing"",""ปราจีนบุรี!M450"")"),0)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IFERROR(__xludf.DUMMYFUNCTION("IMPORTRANGE(""https://docs.google.com/spreadsheets/d/1SX6NBoVAgQJ6U1MVXOaj8PK2l7WJ3RER9xtqwdhxkhw/edit?usp=sharing"",""ปราจีนบุรี!M451"")"),0)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IFERROR(__xludf.DUMMYFUNCTION("IMPORTRANGE(""https://docs.google.com/spreadsheets/d/1SX6NBoVAgQJ6U1MVXOaj8PK2l7WJ3RER9xtqwdhxkhw/edit?usp=sharing"",""ปราจีนบุรี!M452"")"),0)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IFERROR(__xludf.DUMMYFUNCTION("IMPORTRANGE(""https://docs.google.com/spreadsheets/d/1SX6NBoVAgQJ6U1MVXOaj8PK2l7WJ3RER9xtqwdhxkhw/edit?usp=sharing"",""ปราจีนบุรี!M453"")"),0)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IFERROR(__xludf.DUMMYFUNCTION("IMPORTRANGE(""https://docs.google.com/spreadsheets/d/1SX6NBoVAgQJ6U1MVXOaj8PK2l7WJ3RER9xtqwdhxkhw/edit?usp=sharing"",""ปราจีนบุรี!M454"")"),0)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IFERROR(__xludf.DUMMYFUNCTION("IMPORTRANGE(""https://docs.google.com/spreadsheets/d/1SX6NBoVAgQJ6U1MVXOaj8PK2l7WJ3RER9xtqwdhxkhw/edit?usp=sharing"",""ปราจีนบุรี!I455"")"),0)</f>
        <v>0</v>
      </c>
      <c r="J560" s="164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IFERROR(__xludf.DUMMYFUNCTION("IMPORTRANGE(""https://docs.google.com/spreadsheets/d/1SX6NBoVAgQJ6U1MVXOaj8PK2l7WJ3RER9xtqwdhxkhw/edit?usp=sharing"",""ปราจีนบุรี!I456"")"),0)</f>
        <v>0</v>
      </c>
      <c r="J561" s="205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IFERROR(__xludf.DUMMYFUNCTION("IMPORTRANGE(""https://docs.google.com/spreadsheets/d/1SX6NBoVAgQJ6U1MVXOaj8PK2l7WJ3RER9xtqwdhxkhw/edit?usp=sharing"",""ปราจีนบุรี!I457"")"),0)</f>
        <v>0</v>
      </c>
      <c r="J562" s="205" t="str">
        <f ca="1">IFERROR(__xludf.DUMMYFUNCTION("IMPORTRANGE(""https://docs.google.com/spreadsheets/d/1SX6NBoVAgQJ6U1MVXOaj8PK2l7WJ3RER9xtqwdhxkhw/edit?usp=sharing"",""ปราจีนบุรี!J457"")"),"")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IFERROR(__xludf.DUMMYFUNCTION("IMPORTRANGE(""https://docs.google.com/spreadsheets/d/1SX6NBoVAgQJ6U1MVXOaj8PK2l7WJ3RER9xtqwdhxkhw/edit?usp=sharing"",""ปราจีนบุรี!I458"")"),0)</f>
        <v>0</v>
      </c>
      <c r="J563" s="189" t="str">
        <f ca="1">IFERROR(__xludf.DUMMYFUNCTION("IMPORTRANGE(""https://docs.google.com/spreadsheets/d/1SX6NBoVAgQJ6U1MVXOaj8PK2l7WJ3RER9xtqwdhxkhw/edit?usp=sharing"",""ปราจีนบุรี!J458"")"),"")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IFERROR(__xludf.DUMMYFUNCTION("IMPORTRANGE(""https://docs.google.com/spreadsheets/d/1SX6NBoVAgQJ6U1MVXOaj8PK2l7WJ3RER9xtqwdhxkhw/edit?usp=sharing"",""ปราจีนบุรี!J459"")"),195)</f>
        <v>195</v>
      </c>
      <c r="K564" s="372">
        <f t="shared" ca="1" si="121"/>
        <v>39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IFERROR(__xludf.DUMMYFUNCTION("IMPORTRANGE(""https://docs.google.com/spreadsheets/d/1SX6NBoVAgQJ6U1MVXOaj8PK2l7WJ3RER9xtqwdhxkhw/edit?usp=sharing"",""ปราจีนบุรี!M459"")"),9516)</f>
        <v>9516</v>
      </c>
      <c r="O564" s="373">
        <f t="shared" ref="O564:O568" ca="1" si="122">+IF(L564&gt;0,N564*100/L564,0)</f>
        <v>7.4066002490660026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IFERROR(__xludf.DUMMYFUNCTION("IMPORTRANGE(""https://docs.google.com/spreadsheets/d/1SX6NBoVAgQJ6U1MVXOaj8PK2l7WJ3RER9xtqwdhxkhw/edit?usp=sharing"",""ปราจีนบุรี!L460"")"),0)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IFERROR(__xludf.DUMMYFUNCTION("IMPORTRANGE(""https://docs.google.com/spreadsheets/d/1SX6NBoVAgQJ6U1MVXOaj8PK2l7WJ3RER9xtqwdhxkhw/edit?usp=sharing"",""ปราจีนบุรี!M460"")"),0)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7"/>
      <c r="N566" s="170">
        <f ca="1">IFERROR(__xludf.DUMMYFUNCTION("IMPORTRANGE(""https://docs.google.com/spreadsheets/d/1SX6NBoVAgQJ6U1MVXOaj8PK2l7WJ3RER9xtqwdhxkhw/edit?usp=sharing"",""ปราจีนบุรี!M461"")"),9516)</f>
        <v>9516</v>
      </c>
      <c r="O566" s="170">
        <f t="shared" ca="1" si="122"/>
        <v>7.4066002490660026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IFERROR(__xludf.DUMMYFUNCTION("IMPORTRANGE(""https://docs.google.com/spreadsheets/d/1SX6NBoVAgQJ6U1MVXOaj8PK2l7WJ3RER9xtqwdhxkhw/edit?usp=sharing"",""ปราจีนบุรี!L462"")"),0)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IFERROR(__xludf.DUMMYFUNCTION("IMPORTRANGE(""https://docs.google.com/spreadsheets/d/1SX6NBoVAgQJ6U1MVXOaj8PK2l7WJ3RER9xtqwdhxkhw/edit?usp=sharing"",""ปราจีนบุรี!M462"")"),0)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IFERROR(__xludf.DUMMYFUNCTION("IMPORTRANGE(""https://docs.google.com/spreadsheets/d/1SX6NBoVAgQJ6U1MVXOaj8PK2l7WJ3RER9xtqwdhxkhw/edit?usp=sharing"",""ปราจีนบุรี!L463"")"),128480)</f>
        <v>128480</v>
      </c>
      <c r="M568" s="170"/>
      <c r="N568" s="170">
        <f ca="1">IFERROR(__xludf.DUMMYFUNCTION("IMPORTRANGE(""https://docs.google.com/spreadsheets/d/1SX6NBoVAgQJ6U1MVXOaj8PK2l7WJ3RER9xtqwdhxkhw/edit?usp=sharing"",""ปราจีนบุรี!M463"")"),9516)</f>
        <v>9516</v>
      </c>
      <c r="O568" s="170">
        <f t="shared" ca="1" si="122"/>
        <v>7.4066002490660026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IFERROR(__xludf.DUMMYFUNCTION("IMPORTRANGE(""https://docs.google.com/spreadsheets/d/1SX6NBoVAgQJ6U1MVXOaj8PK2l7WJ3RER9xtqwdhxkhw/edit?usp=sharing"",""ปราจีนบุรี!M464"")"),0)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IFERROR(__xludf.DUMMYFUNCTION("IMPORTRANGE(""https://docs.google.com/spreadsheets/d/1SX6NBoVAgQJ6U1MVXOaj8PK2l7WJ3RER9xtqwdhxkhw/edit?usp=sharing"",""ปราจีนบุรี!M465"")"),0)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IFERROR(__xludf.DUMMYFUNCTION("IMPORTRANGE(""https://docs.google.com/spreadsheets/d/1SX6NBoVAgQJ6U1MVXOaj8PK2l7WJ3RER9xtqwdhxkhw/edit?usp=sharing"",""ปราจีนบุรี!M466"")"),9516)</f>
        <v>9516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IFERROR(__xludf.DUMMYFUNCTION("IMPORTRANGE(""https://docs.google.com/spreadsheets/d/1SX6NBoVAgQJ6U1MVXOaj8PK2l7WJ3RER9xtqwdhxkhw/edit?usp=sharing"",""ปราจีนบุรี!J468"")"),195)</f>
        <v>195</v>
      </c>
      <c r="K573" s="203">
        <f ca="1">IF(I573&gt;0,J573*100/I573,0)</f>
        <v>39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IFERROR(__xludf.DUMMYFUNCTION("IMPORTRANGE(""https://docs.google.com/spreadsheets/d/1SX6NBoVAgQJ6U1MVXOaj8PK2l7WJ3RER9xtqwdhxkhw/edit?usp=sharing"",""ปราจีนบุรี!I470"")"),0)</f>
        <v>0</v>
      </c>
      <c r="J575" s="199">
        <f ca="1">IFERROR(__xludf.DUMMYFUNCTION("IMPORTRANGE(""https://docs.google.com/spreadsheets/d/1SX6NBoVAgQJ6U1MVXOaj8PK2l7WJ3RER9xtqwdhxkhw/edit?usp=sharing"",""ปราจีนบุรี!J470"")"),0)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IFERROR(__xludf.DUMMYFUNCTION("IMPORTRANGE(""https://docs.google.com/spreadsheets/d/1SX6NBoVAgQJ6U1MVXOaj8PK2l7WJ3RER9xtqwdhxkhw/edit?usp=sharing"",""ปราจีนบุรี!I471"")"),0)</f>
        <v>0</v>
      </c>
      <c r="J576" s="199">
        <f ca="1">IFERROR(__xludf.DUMMYFUNCTION("IMPORTRANGE(""https://docs.google.com/spreadsheets/d/1SX6NBoVAgQJ6U1MVXOaj8PK2l7WJ3RER9xtqwdhxkhw/edit?usp=sharing"",""ปราจีนบุรี!J471"")"),0)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IFERROR(__xludf.DUMMYFUNCTION("IMPORTRANGE(""https://docs.google.com/spreadsheets/d/1SX6NBoVAgQJ6U1MVXOaj8PK2l7WJ3RER9xtqwdhxkhw/edit?usp=sharing"",""ปราจีนบุรี!I472"")"),0)</f>
        <v>0</v>
      </c>
      <c r="J577" s="190">
        <f ca="1">IFERROR(__xludf.DUMMYFUNCTION("IMPORTRANGE(""https://docs.google.com/spreadsheets/d/1SX6NBoVAgQJ6U1MVXOaj8PK2l7WJ3RER9xtqwdhxkhw/edit?usp=sharing"",""ปราจีนบุรี!J472"")"),195)</f>
        <v>195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IFERROR(__xludf.DUMMYFUNCTION("IMPORTRANGE(""https://docs.google.com/spreadsheets/d/1SX6NBoVAgQJ6U1MVXOaj8PK2l7WJ3RER9xtqwdhxkhw/edit?usp=sharing"",""ปราจีนบุรี!I473"")"),0)</f>
        <v>0</v>
      </c>
      <c r="J578" s="199">
        <f ca="1">IFERROR(__xludf.DUMMYFUNCTION("IMPORTRANGE(""https://docs.google.com/spreadsheets/d/1SX6NBoVAgQJ6U1MVXOaj8PK2l7WJ3RER9xtqwdhxkhw/edit?usp=sharing"",""ปราจีนบุรี!J473"")"),0)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IFERROR(__xludf.DUMMYFUNCTION("IMPORTRANGE(""https://docs.google.com/spreadsheets/d/1SX6NBoVAgQJ6U1MVXOaj8PK2l7WJ3RER9xtqwdhxkhw/edit?usp=sharing"",""ปราจีนบุรี!I474"")"),0)</f>
        <v>0</v>
      </c>
      <c r="J579" s="199">
        <f ca="1">IFERROR(__xludf.DUMMYFUNCTION("IMPORTRANGE(""https://docs.google.com/spreadsheets/d/1SX6NBoVAgQJ6U1MVXOaj8PK2l7WJ3RER9xtqwdhxkhw/edit?usp=sharing"",""ปราจีนบุรี!J474"")"),0)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IFERROR(__xludf.DUMMYFUNCTION("IMPORTRANGE(""https://docs.google.com/spreadsheets/d/1SX6NBoVAgQJ6U1MVXOaj8PK2l7WJ3RER9xtqwdhxkhw/edit?usp=sharing"",""ปราจีนบุรี!L475"")"),106902)</f>
        <v>106902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IFERROR(__xludf.DUMMYFUNCTION("IMPORTRANGE(""https://docs.google.com/spreadsheets/d/1SX6NBoVAgQJ6U1MVXOaj8PK2l7WJ3RER9xtqwdhxkhw/edit?usp=sharing"",""ปราจีนบุรี!L476"")"),0)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IFERROR(__xludf.DUMMYFUNCTION("IMPORTRANGE(""https://docs.google.com/spreadsheets/d/1SX6NBoVAgQJ6U1MVXOaj8PK2l7WJ3RER9xtqwdhxkhw/edit?usp=sharing"",""ปราจีนบุรี!M476"")"),0)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IFERROR(__xludf.DUMMYFUNCTION("IMPORTRANGE(""https://docs.google.com/spreadsheets/d/1SX6NBoVAgQJ6U1MVXOaj8PK2l7WJ3RER9xtqwdhxkhw/edit?usp=sharing"",""ปราจีนบุรี!L477"")"),106902)</f>
        <v>106902</v>
      </c>
      <c r="M582" s="167"/>
      <c r="N582" s="170">
        <f ca="1">IFERROR(__xludf.DUMMYFUNCTION("IMPORTRANGE(""https://docs.google.com/spreadsheets/d/1SX6NBoVAgQJ6U1MVXOaj8PK2l7WJ3RER9xtqwdhxkhw/edit?usp=sharing"",""ปราจีนบุรี!M477"")"),0)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IFERROR(__xludf.DUMMYFUNCTION("IMPORTRANGE(""https://docs.google.com/spreadsheets/d/1SX6NBoVAgQJ6U1MVXOaj8PK2l7WJ3RER9xtqwdhxkhw/edit?usp=sharing"",""ปราจีนบุรี!L478"")"),0)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IFERROR(__xludf.DUMMYFUNCTION("IMPORTRANGE(""https://docs.google.com/spreadsheets/d/1SX6NBoVAgQJ6U1MVXOaj8PK2l7WJ3RER9xtqwdhxkhw/edit?usp=sharing"",""ปราจีนบุรี!M478"")"),0)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IFERROR(__xludf.DUMMYFUNCTION("IMPORTRANGE(""https://docs.google.com/spreadsheets/d/1SX6NBoVAgQJ6U1MVXOaj8PK2l7WJ3RER9xtqwdhxkhw/edit?usp=sharing"",""ปราจีนบุรี!L479"")"),106902)</f>
        <v>106902</v>
      </c>
      <c r="M584" s="170"/>
      <c r="N584" s="170">
        <f ca="1">IFERROR(__xludf.DUMMYFUNCTION("IMPORTRANGE(""https://docs.google.com/spreadsheets/d/1SX6NBoVAgQJ6U1MVXOaj8PK2l7WJ3RER9xtqwdhxkhw/edit?usp=sharing"",""ปราจีนบุรี!M479"")"),0)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IFERROR(__xludf.DUMMYFUNCTION("IMPORTRANGE(""https://docs.google.com/spreadsheets/d/1SX6NBoVAgQJ6U1MVXOaj8PK2l7WJ3RER9xtqwdhxkhw/edit?usp=sharing"",""ปราจีนบุรี!M480"")"),0)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IFERROR(__xludf.DUMMYFUNCTION("IMPORTRANGE(""https://docs.google.com/spreadsheets/d/1SX6NBoVAgQJ6U1MVXOaj8PK2l7WJ3RER9xtqwdhxkhw/edit?usp=sharing"",""ปราจีนบุรี!M481"")"),0)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IFERROR(__xludf.DUMMYFUNCTION("IMPORTRANGE(""https://docs.google.com/spreadsheets/d/1SX6NBoVAgQJ6U1MVXOaj8PK2l7WJ3RER9xtqwdhxkhw/edit?usp=sharing"",""ปราจีนบุรี!M482"")"),0)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IFERROR(__xludf.DUMMYFUNCTION("IMPORTRANGE(""https://docs.google.com/spreadsheets/d/1SX6NBoVAgQJ6U1MVXOaj8PK2l7WJ3RER9xtqwdhxkhw/edit?usp=sharing"",""ปราจีนบุรี!M483"")"),0)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IFERROR(__xludf.DUMMYFUNCTION("IMPORTRANGE(""https://docs.google.com/spreadsheets/d/1SX6NBoVAgQJ6U1MVXOaj8PK2l7WJ3RER9xtqwdhxkhw/edit?usp=sharing"",""ปราจีนบุรี!I484"")"),2)</f>
        <v>2</v>
      </c>
      <c r="J589" s="189">
        <f ca="1">IFERROR(__xludf.DUMMYFUNCTION("IMPORTRANGE(""https://docs.google.com/spreadsheets/d/1SX6NBoVAgQJ6U1MVXOaj8PK2l7WJ3RER9xtqwdhxkhw/edit?usp=sharing"",""ปราจีนบุรี!J484"")"),0)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9">
        <f ca="1">IFERROR(__xludf.DUMMYFUNCTION("IMPORTRANGE(""https://docs.google.com/spreadsheets/d/1SX6NBoVAgQJ6U1MVXOaj8PK2l7WJ3RER9xtqwdhxkhw/edit?usp=sharing"",""ปราจีนบุรี!J485"")"),0)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IFERROR(__xludf.DUMMYFUNCTION("IMPORTRANGE(""https://docs.google.com/spreadsheets/d/1SX6NBoVAgQJ6U1MVXOaj8PK2l7WJ3RER9xtqwdhxkhw/edit?usp=sharing"",""ปราจีนบุรี!I486"")"),2)</f>
        <v>2</v>
      </c>
      <c r="J591" s="189">
        <f ca="1">IFERROR(__xludf.DUMMYFUNCTION("IMPORTRANGE(""https://docs.google.com/spreadsheets/d/1SX6NBoVAgQJ6U1MVXOaj8PK2l7WJ3RER9xtqwdhxkhw/edit?usp=sharing"",""ปราจีนบุรี!J486"")"),1)</f>
        <v>1</v>
      </c>
      <c r="K591" s="165">
        <f t="shared" ca="1" si="125"/>
        <v>50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9">
        <f ca="1">IFERROR(__xludf.DUMMYFUNCTION("IMPORTRANGE(""https://docs.google.com/spreadsheets/d/1SX6NBoVAgQJ6U1MVXOaj8PK2l7WJ3RER9xtqwdhxkhw/edit?usp=sharing"",""ปราจีนบุรี!J487"")"),7)</f>
        <v>7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IFERROR(__xludf.DUMMYFUNCTION("IMPORTRANGE(""https://docs.google.com/spreadsheets/d/1SX6NBoVAgQJ6U1MVXOaj8PK2l7WJ3RER9xtqwdhxkhw/edit?usp=sharing"",""ปราจีนบุรี!I488"")"),2)</f>
        <v>2</v>
      </c>
      <c r="J593" s="189">
        <f ca="1">IFERROR(__xludf.DUMMYFUNCTION("IMPORTRANGE(""https://docs.google.com/spreadsheets/d/1SX6NBoVAgQJ6U1MVXOaj8PK2l7WJ3RER9xtqwdhxkhw/edit?usp=sharing"",""ปราจีนบุรี!J488"")"),0)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9">
        <f ca="1">IFERROR(__xludf.DUMMYFUNCTION("IMPORTRANGE(""https://docs.google.com/spreadsheets/d/1SX6NBoVAgQJ6U1MVXOaj8PK2l7WJ3RER9xtqwdhxkhw/edit?usp=sharing"",""ปราจีนบุรี!J489"")"),0)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IFERROR(__xludf.DUMMYFUNCTION("IMPORTRANGE(""https://docs.google.com/spreadsheets/d/1SX6NBoVAgQJ6U1MVXOaj8PK2l7WJ3RER9xtqwdhxkhw/edit?usp=sharing"",""ปราจีนบุรี!I490"")"),2)</f>
        <v>2</v>
      </c>
      <c r="J595" s="189">
        <f ca="1">IFERROR(__xludf.DUMMYFUNCTION("IMPORTRANGE(""https://docs.google.com/spreadsheets/d/1SX6NBoVAgQJ6U1MVXOaj8PK2l7WJ3RER9xtqwdhxkhw/edit?usp=sharing"",""ปราจีนบุรี!J490"")"),3)</f>
        <v>3</v>
      </c>
      <c r="K595" s="165">
        <f t="shared" ca="1" si="125"/>
        <v>150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IFERROR(__xludf.DUMMYFUNCTION("IMPORTRANGE(""https://docs.google.com/spreadsheets/d/1SX6NBoVAgQJ6U1MVXOaj8PK2l7WJ3RER9xtqwdhxkhw/edit?usp=sharing"",""ปราจีนบุรี!J491"")"),8.68)</f>
        <v>8.68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7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IFERROR(__xludf.DUMMYFUNCTION("IMPORTRANGE(""https://docs.google.com/spreadsheets/d/1SX6NBoVAgQJ6U1MVXOaj8PK2l7WJ3RER9xtqwdhxkhw/edit?usp=sharing"",""ปราจีนบุรี!L493"")"),0)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IFERROR(__xludf.DUMMYFUNCTION("IMPORTRANGE(""https://docs.google.com/spreadsheets/d/1SX6NBoVAgQJ6U1MVXOaj8PK2l7WJ3RER9xtqwdhxkhw/edit?usp=sharing"",""ปราจีนบุรี!M493"")"),0)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IFERROR(__xludf.DUMMYFUNCTION("IMPORTRANGE(""https://docs.google.com/spreadsheets/d/1SX6NBoVAgQJ6U1MVXOaj8PK2l7WJ3RER9xtqwdhxkhw/edit?usp=sharing"",""ปราจีนบุรี!L494"")"),4550)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IFERROR(__xludf.DUMMYFUNCTION("IMPORTRANGE(""https://docs.google.com/spreadsheets/d/1SX6NBoVAgQJ6U1MVXOaj8PK2l7WJ3RER9xtqwdhxkhw/edit?usp=sharing"",""ปราจีนบุรี!M494"")"),0)</f>
        <v>0</v>
      </c>
      <c r="O599" s="170">
        <f t="shared" ca="1" si="126"/>
        <v>0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IFERROR(__xludf.DUMMYFUNCTION("IMPORTRANGE(""https://docs.google.com/spreadsheets/d/1SX6NBoVAgQJ6U1MVXOaj8PK2l7WJ3RER9xtqwdhxkhw/edit?usp=sharing"",""ปราจีนบุรี!L495"")"),0)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IFERROR(__xludf.DUMMYFUNCTION("IMPORTRANGE(""https://docs.google.com/spreadsheets/d/1SX6NBoVAgQJ6U1MVXOaj8PK2l7WJ3RER9xtqwdhxkhw/edit?usp=sharing"",""ปราจีนบุรี!M495"")"),0)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IFERROR(__xludf.DUMMYFUNCTION("IMPORTRANGE(""https://docs.google.com/spreadsheets/d/1SX6NBoVAgQJ6U1MVXOaj8PK2l7WJ3RER9xtqwdhxkhw/edit?usp=sharing"",""ปราจีนบุรี!L496"")"),4550)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IFERROR(__xludf.DUMMYFUNCTION("IMPORTRANGE(""https://docs.google.com/spreadsheets/d/1SX6NBoVAgQJ6U1MVXOaj8PK2l7WJ3RER9xtqwdhxkhw/edit?usp=sharing"",""ปราจีนบุรี!M496"")"),0)</f>
        <v>0</v>
      </c>
      <c r="O601" s="170">
        <f t="shared" ca="1" si="126"/>
        <v>0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IFERROR(__xludf.DUMMYFUNCTION("IMPORTRANGE(""https://docs.google.com/spreadsheets/d/1SX6NBoVAgQJ6U1MVXOaj8PK2l7WJ3RER9xtqwdhxkhw/edit?usp=sharing"",""ปราจีนบุรี!M497"")"),0)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IFERROR(__xludf.DUMMYFUNCTION("IMPORTRANGE(""https://docs.google.com/spreadsheets/d/1SX6NBoVAgQJ6U1MVXOaj8PK2l7WJ3RER9xtqwdhxkhw/edit?usp=sharing"",""ปราจีนบุรี!M498"")"),0)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IFERROR(__xludf.DUMMYFUNCTION("IMPORTRANGE(""https://docs.google.com/spreadsheets/d/1SX6NBoVAgQJ6U1MVXOaj8PK2l7WJ3RER9xtqwdhxkhw/edit?usp=sharing"",""ปราจีนบุรี!M499"")"),0)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IFERROR(__xludf.DUMMYFUNCTION("IMPORTRANGE(""https://docs.google.com/spreadsheets/d/1SX6NBoVAgQJ6U1MVXOaj8PK2l7WJ3RER9xtqwdhxkhw/edit?usp=sharing"",""ปราจีนบุรี!J502"")"),1)</f>
        <v>1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IFERROR(__xludf.DUMMYFUNCTION("IMPORTRANGE(""https://docs.google.com/spreadsheets/d/1SX6NBoVAgQJ6U1MVXOaj8PK2l7WJ3RER9xtqwdhxkhw/edit?usp=sharing"",""ปราจีนบุรี!J503"")"),0)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IFERROR(__xludf.DUMMYFUNCTION("IMPORTRANGE(""https://docs.google.com/spreadsheets/d/1SX6NBoVAgQJ6U1MVXOaj8PK2l7WJ3RER9xtqwdhxkhw/edit?usp=sharing"",""ปราจีนบุรี!I506"")"),50)</f>
        <v>50</v>
      </c>
      <c r="J611" s="164">
        <f ca="1">IFERROR(__xludf.DUMMYFUNCTION("IMPORTRANGE(""https://docs.google.com/spreadsheets/d/1SX6NBoVAgQJ6U1MVXOaj8PK2l7WJ3RER9xtqwdhxkhw/edit?usp=sharing"",""ปราจีนบุรี!J506"")"),0)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IFERROR(__xludf.DUMMYFUNCTION("IMPORTRANGE(""https://docs.google.com/spreadsheets/d/1SX6NBoVAgQJ6U1MVXOaj8PK2l7WJ3RER9xtqwdhxkhw/edit?usp=sharing"",""ปราจีนบุรี!I507"")"),0)</f>
        <v>0</v>
      </c>
      <c r="J612" s="199">
        <f ca="1">IFERROR(__xludf.DUMMYFUNCTION("IMPORTRANGE(""https://docs.google.com/spreadsheets/d/1SX6NBoVAgQJ6U1MVXOaj8PK2l7WJ3RER9xtqwdhxkhw/edit?usp=sharing"",""ปราจีนบุรี!J507"")"),0)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IFERROR(__xludf.DUMMYFUNCTION("IMPORTRANGE(""https://docs.google.com/spreadsheets/d/1SX6NBoVAgQJ6U1MVXOaj8PK2l7WJ3RER9xtqwdhxkhw/edit?usp=sharing"",""ปราจีนบุรี!I508"")"),0)</f>
        <v>0</v>
      </c>
      <c r="J613" s="199">
        <f ca="1">IFERROR(__xludf.DUMMYFUNCTION("IMPORTRANGE(""https://docs.google.com/spreadsheets/d/1SX6NBoVAgQJ6U1MVXOaj8PK2l7WJ3RER9xtqwdhxkhw/edit?usp=sharing"",""ปราจีนบุรี!J508"")"),0)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IFERROR(__xludf.DUMMYFUNCTION("IMPORTRANGE(""https://docs.google.com/spreadsheets/d/1SX6NBoVAgQJ6U1MVXOaj8PK2l7WJ3RER9xtqwdhxkhw/edit?usp=sharing"",""ปราจีนบุรี!I509"")"),0)</f>
        <v>0</v>
      </c>
      <c r="J614" s="199">
        <f ca="1">IFERROR(__xludf.DUMMYFUNCTION("IMPORTRANGE(""https://docs.google.com/spreadsheets/d/1SX6NBoVAgQJ6U1MVXOaj8PK2l7WJ3RER9xtqwdhxkhw/edit?usp=sharing"",""ปราจีนบุรี!J509"")"),0)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IFERROR(__xludf.DUMMYFUNCTION("IMPORTRANGE(""https://docs.google.com/spreadsheets/d/1SX6NBoVAgQJ6U1MVXOaj8PK2l7WJ3RER9xtqwdhxkhw/edit?usp=sharing"",""ปราจีนบุรี!I510"")"),0)</f>
        <v>0</v>
      </c>
      <c r="J615" s="199">
        <f ca="1">IFERROR(__xludf.DUMMYFUNCTION("IMPORTRANGE(""https://docs.google.com/spreadsheets/d/1SX6NBoVAgQJ6U1MVXOaj8PK2l7WJ3RER9xtqwdhxkhw/edit?usp=sharing"",""ปราจีนบุรี!J510"")"),0)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IFERROR(__xludf.DUMMYFUNCTION("IMPORTRANGE(""https://docs.google.com/spreadsheets/d/1SX6NBoVAgQJ6U1MVXOaj8PK2l7WJ3RER9xtqwdhxkhw/edit?usp=sharing"",""ปราจีนบุรี!I511"")"),0)</f>
        <v>0</v>
      </c>
      <c r="J616" s="199">
        <f ca="1">IFERROR(__xludf.DUMMYFUNCTION("IMPORTRANGE(""https://docs.google.com/spreadsheets/d/1SX6NBoVAgQJ6U1MVXOaj8PK2l7WJ3RER9xtqwdhxkhw/edit?usp=sharing"",""ปราจีนบุรี!J511"")"),0)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IFERROR(__xludf.DUMMYFUNCTION("IMPORTRANGE(""https://docs.google.com/spreadsheets/d/1SX6NBoVAgQJ6U1MVXOaj8PK2l7WJ3RER9xtqwdhxkhw/edit?usp=sharing"",""ปราจีนบุรี!I512"")"),0)</f>
        <v>0</v>
      </c>
      <c r="J617" s="189">
        <f ca="1">IFERROR(__xludf.DUMMYFUNCTION("IMPORTRANGE(""https://docs.google.com/spreadsheets/d/1SX6NBoVAgQJ6U1MVXOaj8PK2l7WJ3RER9xtqwdhxkhw/edit?usp=sharing"",""ปราจีนบุรี!J512"")"),0)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IFERROR(__xludf.DUMMYFUNCTION("IMPORTRANGE(""https://docs.google.com/spreadsheets/d/1SX6NBoVAgQJ6U1MVXOaj8PK2l7WJ3RER9xtqwdhxkhw/edit?usp=sharing"",""ปราจีนบุรี!I513"")"),0)</f>
        <v>0</v>
      </c>
      <c r="J618" s="190">
        <f ca="1">IFERROR(__xludf.DUMMYFUNCTION("IMPORTRANGE(""https://docs.google.com/spreadsheets/d/1SX6NBoVAgQJ6U1MVXOaj8PK2l7WJ3RER9xtqwdhxkhw/edit?usp=sharing"",""ปราจีนบุรี!J513"")"),0)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IFERROR(__xludf.DUMMYFUNCTION("IMPORTRANGE(""https://docs.google.com/spreadsheets/d/1SX6NBoVAgQJ6U1MVXOaj8PK2l7WJ3RER9xtqwdhxkhw/edit?usp=sharing"",""ปราจีนบุรี!I514"")"),0)</f>
        <v>0</v>
      </c>
      <c r="J619" s="190">
        <f ca="1">IFERROR(__xludf.DUMMYFUNCTION("IMPORTRANGE(""https://docs.google.com/spreadsheets/d/1SX6NBoVAgQJ6U1MVXOaj8PK2l7WJ3RER9xtqwdhxkhw/edit?usp=sharing"",""ปราจีนบุรี!J514"")"),0)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IFERROR(__xludf.DUMMYFUNCTION("IMPORTRANGE(""https://docs.google.com/spreadsheets/d/1SX6NBoVAgQJ6U1MVXOaj8PK2l7WJ3RER9xtqwdhxkhw/edit?usp=sharing"",""ปราจีนบุรี!I515"")"),0)</f>
        <v>0</v>
      </c>
      <c r="J620" s="204">
        <f ca="1">IFERROR(__xludf.DUMMYFUNCTION("IMPORTRANGE(""https://docs.google.com/spreadsheets/d/1SX6NBoVAgQJ6U1MVXOaj8PK2l7WJ3RER9xtqwdhxkhw/edit?usp=sharing"",""ปราจีนบุรี!J515"")"),0)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IFERROR(__xludf.DUMMYFUNCTION("IMPORTRANGE(""https://docs.google.com/spreadsheets/d/1SX6NBoVAgQJ6U1MVXOaj8PK2l7WJ3RER9xtqwdhxkhw/edit?usp=sharing"",""ปราจีนบุรี!I516"")"),0)</f>
        <v>0</v>
      </c>
      <c r="J621" s="204">
        <f ca="1">IFERROR(__xludf.DUMMYFUNCTION("IMPORTRANGE(""https://docs.google.com/spreadsheets/d/1SX6NBoVAgQJ6U1MVXOaj8PK2l7WJ3RER9xtqwdhxkhw/edit?usp=sharing"",""ปราจีนบุรี!J516"")"),0)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IFERROR(__xludf.DUMMYFUNCTION("IMPORTRANGE(""https://docs.google.com/spreadsheets/d/1SX6NBoVAgQJ6U1MVXOaj8PK2l7WJ3RER9xtqwdhxkhw/edit?usp=sharing"",""ปราจีนบุรี!I517"")"),0)</f>
        <v>0</v>
      </c>
      <c r="J622" s="190">
        <f ca="1">IFERROR(__xludf.DUMMYFUNCTION("IMPORTRANGE(""https://docs.google.com/spreadsheets/d/1SX6NBoVAgQJ6U1MVXOaj8PK2l7WJ3RER9xtqwdhxkhw/edit?usp=sharing"",""ปราจีนบุรี!J517"")"),0)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IFERROR(__xludf.DUMMYFUNCTION("IMPORTRANGE(""https://docs.google.com/spreadsheets/d/1SX6NBoVAgQJ6U1MVXOaj8PK2l7WJ3RER9xtqwdhxkhw/edit?usp=sharing"",""ปราจีนบุรี!I518"")"),0)</f>
        <v>0</v>
      </c>
      <c r="J623" s="190">
        <f ca="1">IFERROR(__xludf.DUMMYFUNCTION("IMPORTRANGE(""https://docs.google.com/spreadsheets/d/1SX6NBoVAgQJ6U1MVXOaj8PK2l7WJ3RER9xtqwdhxkhw/edit?usp=sharing"",""ปราจีนบุรี!J518"")"),0)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IFERROR(__xludf.DUMMYFUNCTION("IMPORTRANGE(""https://docs.google.com/spreadsheets/d/1SX6NBoVAgQJ6U1MVXOaj8PK2l7WJ3RER9xtqwdhxkhw/edit?usp=sharing"",""ปราจีนบุรี!I519"")"),0)</f>
        <v>0</v>
      </c>
      <c r="J624" s="189">
        <f ca="1">IFERROR(__xludf.DUMMYFUNCTION("IMPORTRANGE(""https://docs.google.com/spreadsheets/d/1SX6NBoVAgQJ6U1MVXOaj8PK2l7WJ3RER9xtqwdhxkhw/edit?usp=sharing"",""ปราจีนบุรี!J519"")"),0)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IFERROR(__xludf.DUMMYFUNCTION("IMPORTRANGE(""https://docs.google.com/spreadsheets/d/1SX6NBoVAgQJ6U1MVXOaj8PK2l7WJ3RER9xtqwdhxkhw/edit?usp=sharing"",""ปราจีนบุรี!I520"")"),0)</f>
        <v>0</v>
      </c>
      <c r="J625" s="190">
        <f ca="1">IFERROR(__xludf.DUMMYFUNCTION("IMPORTRANGE(""https://docs.google.com/spreadsheets/d/1SX6NBoVAgQJ6U1MVXOaj8PK2l7WJ3RER9xtqwdhxkhw/edit?usp=sharing"",""ปราจีนบุรี!J520"")"),0)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IFERROR(__xludf.DUMMYFUNCTION("IMPORTRANGE(""https://docs.google.com/spreadsheets/d/1SX6NBoVAgQJ6U1MVXOaj8PK2l7WJ3RER9xtqwdhxkhw/edit?usp=sharing"",""ปราจีนบุรี!I521"")"),0)</f>
        <v>0</v>
      </c>
      <c r="J626" s="190">
        <f ca="1">IFERROR(__xludf.DUMMYFUNCTION("IMPORTRANGE(""https://docs.google.com/spreadsheets/d/1SX6NBoVAgQJ6U1MVXOaj8PK2l7WJ3RER9xtqwdhxkhw/edit?usp=sharing"",""ปราจีนบุรี!J521"")"),0)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1">
        <f ca="1">IFERROR(__xludf.DUMMYFUNCTION("IMPORTRANGE(""https://docs.google.com/spreadsheets/d/1SX6NBoVAgQJ6U1MVXOaj8PK2l7WJ3RER9xtqwdhxkhw/edit?usp=sharing"",""ปราจีนบุรี!J523"")"),815000)</f>
        <v>815000</v>
      </c>
      <c r="K628" s="342">
        <f t="shared" ref="K628:K635" ca="1" si="129">IF(I628&gt;0,J628*100/I628,0)</f>
        <v>8.8385828708148999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IFERROR(__xludf.DUMMYFUNCTION("IMPORTRANGE(""https://docs.google.com/spreadsheets/d/1SX6NBoVAgQJ6U1MVXOaj8PK2l7WJ3RER9xtqwdhxkhw/edit?usp=sharing"",""ปราจีนบุรี!I524"")"),216)</f>
        <v>216</v>
      </c>
      <c r="J629" s="341">
        <f ca="1">IFERROR(__xludf.DUMMYFUNCTION("IMPORTRANGE(""https://docs.google.com/spreadsheets/d/1SX6NBoVAgQJ6U1MVXOaj8PK2l7WJ3RER9xtqwdhxkhw/edit?usp=sharing"",""ปราจีนบุรี!J524"")"),21)</f>
        <v>21</v>
      </c>
      <c r="K629" s="342">
        <f t="shared" ca="1" si="129"/>
        <v>9.7222222222222214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1">
        <f ca="1">IFERROR(__xludf.DUMMYFUNCTION("IMPORTRANGE(""https://docs.google.com/spreadsheets/d/1SX6NBoVAgQJ6U1MVXOaj8PK2l7WJ3RER9xtqwdhxkhw/edit?usp=sharing"",""ปราจีนบุรี!J525"")"),289194.38)</f>
        <v>289194.38</v>
      </c>
      <c r="K630" s="342">
        <f t="shared" ca="1" si="129"/>
        <v>4.2829362871804397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IFERROR(__xludf.DUMMYFUNCTION("IMPORTRANGE(""https://docs.google.com/spreadsheets/d/1SX6NBoVAgQJ6U1MVXOaj8PK2l7WJ3RER9xtqwdhxkhw/edit?usp=sharing"",""ปราจีนบุรี!I526"")"),154)</f>
        <v>154</v>
      </c>
      <c r="J631" s="341">
        <f ca="1">IFERROR(__xludf.DUMMYFUNCTION("IMPORTRANGE(""https://docs.google.com/spreadsheets/d/1SX6NBoVAgQJ6U1MVXOaj8PK2l7WJ3RER9xtqwdhxkhw/edit?usp=sharing"",""ปราจีนบุรี!J526"")"),19)</f>
        <v>19</v>
      </c>
      <c r="K631" s="342">
        <f t="shared" ca="1" si="129"/>
        <v>12.337662337662337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1">
        <f ca="1">IFERROR(__xludf.DUMMYFUNCTION("IMPORTRANGE(""https://docs.google.com/spreadsheets/d/1SX6NBoVAgQJ6U1MVXOaj8PK2l7WJ3RER9xtqwdhxkhw/edit?usp=sharing"",""ปราจีนบุรี!J527"")"),104394.64)</f>
        <v>104394.64</v>
      </c>
      <c r="K632" s="342">
        <f t="shared" ca="1" si="129"/>
        <v>36.817195952199938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IFERROR(__xludf.DUMMYFUNCTION("IMPORTRANGE(""https://docs.google.com/spreadsheets/d/1SX6NBoVAgQJ6U1MVXOaj8PK2l7WJ3RER9xtqwdhxkhw/edit?usp=sharing"",""ปราจีนบุรี!I528"")"),136)</f>
        <v>136</v>
      </c>
      <c r="J633" s="341">
        <f ca="1">IFERROR(__xludf.DUMMYFUNCTION("IMPORTRANGE(""https://docs.google.com/spreadsheets/d/1SX6NBoVAgQJ6U1MVXOaj8PK2l7WJ3RER9xtqwdhxkhw/edit?usp=sharing"",""ปราจีนบุรี!J528"")"),18)</f>
        <v>18</v>
      </c>
      <c r="K633" s="342">
        <f t="shared" ca="1" si="129"/>
        <v>13.235294117647058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41">
        <f ca="1">IFERROR(__xludf.DUMMYFUNCTION("IMPORTRANGE(""https://docs.google.com/spreadsheets/d/1SX6NBoVAgQJ6U1MVXOaj8PK2l7WJ3RER9xtqwdhxkhw/edit?usp=sharing"",""ปราจีนบุรี!J529"")"),610000)</f>
        <v>610000</v>
      </c>
      <c r="K634" s="342">
        <f t="shared" ca="1" si="129"/>
        <v>13.555555555555555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IFERROR(__xludf.DUMMYFUNCTION("IMPORTRANGE(""https://docs.google.com/spreadsheets/d/1SX6NBoVAgQJ6U1MVXOaj8PK2l7WJ3RER9xtqwdhxkhw/edit?usp=sharing"",""ปราจีนบุรี!I530"")"),90)</f>
        <v>90</v>
      </c>
      <c r="J635" s="504">
        <f ca="1">IFERROR(__xludf.DUMMYFUNCTION("IMPORTRANGE(""https://docs.google.com/spreadsheets/d/1SX6NBoVAgQJ6U1MVXOaj8PK2l7WJ3RER9xtqwdhxkhw/edit?usp=sharing"",""ปราจีนบุรี!J530"")"),15)</f>
        <v>15</v>
      </c>
      <c r="K635" s="486">
        <f t="shared" ca="1" si="129"/>
        <v>16.666666666666668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260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3070482</v>
      </c>
      <c r="M8" s="23">
        <f t="shared" ca="1" si="0"/>
        <v>1421194</v>
      </c>
      <c r="N8" s="23">
        <f t="shared" ca="1" si="0"/>
        <v>1145921.6399999999</v>
      </c>
      <c r="O8" s="22">
        <f t="shared" ref="O8:O16" ca="1" si="1">IF(L8&gt;0,N8*100/L8,0)</f>
        <v>37.320578332652651</v>
      </c>
      <c r="P8" s="22">
        <f t="shared" ref="P8:P16" ca="1" si="2">IF(M8&gt;0,N8*100/M8,0)</f>
        <v>80.630908939947673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3070482</v>
      </c>
      <c r="M10" s="30">
        <f t="shared" ca="1" si="4"/>
        <v>1421194</v>
      </c>
      <c r="N10" s="30">
        <f t="shared" ca="1" si="4"/>
        <v>1145921.6399999999</v>
      </c>
      <c r="O10" s="29">
        <f t="shared" ca="1" si="1"/>
        <v>37.320578332652651</v>
      </c>
      <c r="P10" s="29">
        <f t="shared" ca="1" si="2"/>
        <v>80.630908939947673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3017282</v>
      </c>
      <c r="M12" s="38">
        <f t="shared" ca="1" si="6"/>
        <v>1367994</v>
      </c>
      <c r="N12" s="38">
        <f t="shared" ca="1" si="6"/>
        <v>1092721.6399999999</v>
      </c>
      <c r="O12" s="38">
        <f t="shared" ca="1" si="1"/>
        <v>36.215429648272845</v>
      </c>
      <c r="P12" s="38">
        <f t="shared" ca="1" si="2"/>
        <v>79.877663206125163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1466282</v>
      </c>
      <c r="M14" s="38">
        <f t="shared" si="8"/>
        <v>0</v>
      </c>
      <c r="N14" s="38">
        <f t="shared" ca="1" si="8"/>
        <v>49288.639999999999</v>
      </c>
      <c r="O14" s="38">
        <f t="shared" ca="1" si="1"/>
        <v>3.3614707130006369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2451635</v>
      </c>
      <c r="M18" s="23">
        <f t="shared" ca="1" si="11"/>
        <v>1421194</v>
      </c>
      <c r="N18" s="23">
        <f t="shared" ca="1" si="11"/>
        <v>1096633</v>
      </c>
      <c r="O18" s="22">
        <f t="shared" ref="O18:O20" ca="1" si="12">IF(L18&gt;0,N18*100/L18,0)</f>
        <v>44.730679730057695</v>
      </c>
      <c r="P18" s="22">
        <f t="shared" ref="P18:P26" ca="1" si="13">IF(M18&gt;0,N18*100/M18,0)</f>
        <v>77.162794101297919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2451635</v>
      </c>
      <c r="M20" s="30">
        <f t="shared" ca="1" si="15"/>
        <v>1421194</v>
      </c>
      <c r="N20" s="30">
        <f t="shared" ca="1" si="15"/>
        <v>1096633</v>
      </c>
      <c r="O20" s="29">
        <f t="shared" ca="1" si="12"/>
        <v>44.730679730057695</v>
      </c>
      <c r="P20" s="29">
        <f t="shared" ca="1" si="13"/>
        <v>77.162794101297919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2398435</v>
      </c>
      <c r="M22" s="41">
        <f t="shared" ca="1" si="18"/>
        <v>1367994</v>
      </c>
      <c r="N22" s="38">
        <f t="shared" ca="1" si="18"/>
        <v>1043433</v>
      </c>
      <c r="O22" s="38">
        <f t="shared" ca="1" si="17"/>
        <v>43.504743718299643</v>
      </c>
      <c r="P22" s="38">
        <f t="shared" ca="1" si="13"/>
        <v>76.274676643318614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847435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618847</v>
      </c>
      <c r="M28" s="23">
        <f t="shared" si="23"/>
        <v>0</v>
      </c>
      <c r="N28" s="23">
        <f t="shared" ca="1" si="23"/>
        <v>49288.639999999999</v>
      </c>
      <c r="O28" s="22">
        <f t="shared" ref="O28:O30" ca="1" si="24">IF(L28&gt;0,N28*100/L28,0)</f>
        <v>7.9645922174624744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618847</v>
      </c>
      <c r="M30" s="30">
        <f t="shared" si="27"/>
        <v>0</v>
      </c>
      <c r="N30" s="30">
        <f t="shared" ca="1" si="27"/>
        <v>49288.639999999999</v>
      </c>
      <c r="O30" s="29">
        <f t="shared" ca="1" si="24"/>
        <v>7.9645922174624744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618847</v>
      </c>
      <c r="M32" s="38">
        <f t="shared" si="30"/>
        <v>0</v>
      </c>
      <c r="N32" s="38">
        <f t="shared" ca="1" si="30"/>
        <v>49288.639999999999</v>
      </c>
      <c r="O32" s="38">
        <f t="shared" ca="1" si="29"/>
        <v>7.9645922174624744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618847</v>
      </c>
      <c r="M34" s="38">
        <f t="shared" si="32"/>
        <v>0</v>
      </c>
      <c r="N34" s="38">
        <f t="shared" ca="1" si="32"/>
        <v>49288.639999999999</v>
      </c>
      <c r="O34" s="38">
        <f t="shared" ca="1" si="29"/>
        <v>7.9645922174624744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2451635</v>
      </c>
      <c r="M37" s="54">
        <f t="shared" ca="1" si="33"/>
        <v>1421194</v>
      </c>
      <c r="N37" s="54">
        <f t="shared" ca="1" si="33"/>
        <v>1096633</v>
      </c>
      <c r="O37" s="55">
        <f t="shared" ca="1" si="29"/>
        <v>44.730679730057695</v>
      </c>
      <c r="P37" s="55">
        <f t="shared" ca="1" si="25"/>
        <v>77.162794101297919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176900</v>
      </c>
      <c r="N41" s="78">
        <f t="shared" ca="1" si="34"/>
        <v>156232</v>
      </c>
      <c r="O41" s="77">
        <f t="shared" ref="O41:O43" ca="1" si="35">IF(L41&gt;0,N41*100/L41,0)</f>
        <v>44.158281514980217</v>
      </c>
      <c r="P41" s="77">
        <f t="shared" ref="P41:P43" ca="1" si="36">IF(M41&gt;0,N41*100/M41,0)</f>
        <v>88.316563029960435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176900</v>
      </c>
      <c r="N43" s="78">
        <f t="shared" ca="1" si="38"/>
        <v>156232</v>
      </c>
      <c r="O43" s="77">
        <f t="shared" ca="1" si="35"/>
        <v>44.158281514980217</v>
      </c>
      <c r="P43" s="77">
        <f t="shared" ca="1" si="36"/>
        <v>88.316563029960435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IFERROR(__xludf.DUMMYFUNCTION("IMPORTRANGE(""https://docs.google.com/spreadsheets/d/1Yj_ptqi66GCucihVvJfMjLAmec39IyEx_6qawtMGysU/edit?usp=sharing"",""สบก!Q70"")"),176900)</f>
        <v>176900</v>
      </c>
      <c r="N45" s="49">
        <f ca="1">IFERROR(__xludf.DUMMYFUNCTION("IMPORTRANGE(""https://docs.google.com/spreadsheets/d/1Yj_ptqi66GCucihVvJfMjLAmec39IyEx_6qawtMGysU/edit?usp=sharing"",""สบก!R70"")"),156232)</f>
        <v>156232</v>
      </c>
      <c r="O45" s="38">
        <f ca="1">IF(L45&gt;0,N45*100/L45,0)</f>
        <v>44.158281514980217</v>
      </c>
      <c r="P45" s="38">
        <f ca="1">IF(M45&gt;0,N45*100/M45,0)</f>
        <v>88.316563029960435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165259</v>
      </c>
      <c r="N53" s="121">
        <f t="shared" ca="1" si="39"/>
        <v>121609</v>
      </c>
      <c r="O53" s="120">
        <f t="shared" ref="O53:O55" ca="1" si="40">IF(L53&gt;0,N53*100/L53,0)</f>
        <v>39.228709677419353</v>
      </c>
      <c r="P53" s="120">
        <f t="shared" ref="P53:P55" ca="1" si="41">IF(M53&gt;0,N53*100/M53,0)</f>
        <v>73.586915084806279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165259</v>
      </c>
      <c r="N55" s="121">
        <f t="shared" ca="1" si="43"/>
        <v>121609</v>
      </c>
      <c r="O55" s="120">
        <f t="shared" ca="1" si="40"/>
        <v>39.228709677419353</v>
      </c>
      <c r="P55" s="120">
        <f t="shared" ca="1" si="41"/>
        <v>73.586915084806279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IFERROR(__xludf.DUMMYFUNCTION("IMPORTRANGE(""https://docs.google.com/spreadsheets/d/1Yj_ptqi66GCucihVvJfMjLAmec39IyEx_6qawtMGysU/edit?usp=sharing"",""สบก!Z70"")"),165259)</f>
        <v>165259</v>
      </c>
      <c r="N57" s="49">
        <f ca="1">IFERROR(__xludf.DUMMYFUNCTION("IMPORTRANGE(""https://docs.google.com/spreadsheets/d/1Yj_ptqi66GCucihVvJfMjLAmec39IyEx_6qawtMGysU/edit?usp=sharing"",""สบก!AA70"")"),121609)</f>
        <v>121609</v>
      </c>
      <c r="O57" s="38">
        <f ca="1">IF(L57&gt;0,N57*100/L57,0)</f>
        <v>39.228709677419353</v>
      </c>
      <c r="P57" s="38">
        <f ca="1">IF(M57&gt;0,N57*100/M57,0)</f>
        <v>73.586915084806279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315220</v>
      </c>
      <c r="N66" s="152">
        <f t="shared" ca="1" si="45"/>
        <v>214180</v>
      </c>
      <c r="O66" s="151">
        <f t="shared" ref="O66:O68" ca="1" si="46">IF(L66&gt;0,N66*100/L66,0)</f>
        <v>38.438621679827712</v>
      </c>
      <c r="P66" s="151">
        <f t="shared" ref="P66:P68" ca="1" si="47">IF(M66&gt;0,N66*100/M66,0)</f>
        <v>67.946196307340898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315220</v>
      </c>
      <c r="N68" s="157">
        <f t="shared" ca="1" si="49"/>
        <v>214180</v>
      </c>
      <c r="O68" s="156">
        <f t="shared" ca="1" si="46"/>
        <v>38.438621679827712</v>
      </c>
      <c r="P68" s="156">
        <f t="shared" ca="1" si="47"/>
        <v>67.946196307340898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557200</v>
      </c>
      <c r="M70" s="169">
        <f ca="1">IFERROR(__xludf.DUMMYFUNCTION("IMPORTRANGE(""https://docs.google.com/spreadsheets/d/1Yj_ptqi66GCucihVvJfMjLAmec39IyEx_6qawtMGysU/edit?usp=sharing"",""สบก!AI70"")"),315220)</f>
        <v>315220</v>
      </c>
      <c r="N70" s="170">
        <f ca="1">IFERROR(__xludf.DUMMYFUNCTION("IMPORTRANGE(""https://docs.google.com/spreadsheets/d/1Yj_ptqi66GCucihVvJfMjLAmec39IyEx_6qawtMGysU/edit?usp=sharing"",""สบก!AJ70"")"),214180)</f>
        <v>214180</v>
      </c>
      <c r="O70" s="170">
        <f ca="1">IF(L70&gt;0,N70*100/L70,0)</f>
        <v>38.438621679827712</v>
      </c>
      <c r="P70" s="170">
        <f ca="1">IF(M70&gt;0,N70*100/M70,0)</f>
        <v>67.946196307340898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IFERROR(__xludf.DUMMYFUNCTION("IMPORTRANGE(""https://docs.google.com/spreadsheets/d/1Yj_ptqi66GCucihVvJfMjLAmec39IyEx_6qawtMGysU/edit?usp=sharing"",""สบก!AE70"")"),185200)</f>
        <v>185200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IFERROR(__xludf.DUMMYFUNCTION("IMPORTRANGE(""https://docs.google.com/spreadsheets/d/1Yj_ptqi66GCucihVvJfMjLAmec39IyEx_6qawtMGysU/edit?usp=sharing"",""สบก!AF70"")"),372000)</f>
        <v>372000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2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2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5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5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90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90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5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5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IFERROR(__xludf.DUMMYFUNCTION("IMPORTRANGE(""https://docs.google.com/spreadsheets/d/1SX6NBoVAgQJ6U1MVXOaj8PK2l7WJ3RER9xtqwdhxkhw/edit?usp=sharing"",""พระนครศรีอยุธยา!I28"")"),0)</f>
        <v>0</v>
      </c>
      <c r="J88" s="205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IFERROR(__xludf.DUMMYFUNCTION("IMPORTRANGE(""https://docs.google.com/spreadsheets/d/1Yj_ptqi66GCucihVvJfMjLAmec39IyEx_6qawtMGysU/edit?usp=sharing"",""สบก!AR70"")"),0)</f>
        <v>0</v>
      </c>
      <c r="N98" s="170">
        <f ca="1">IFERROR(__xludf.DUMMYFUNCTION("IMPORTRANGE(""https://docs.google.com/spreadsheets/d/1Yj_ptqi66GCucihVvJfMjLAmec39IyEx_6qawtMGysU/edit?usp=sharing"",""สบก!AS70"")"),0)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IFERROR(__xludf.DUMMYFUNCTION("IMPORTRANGE(""https://docs.google.com/spreadsheets/d/1Yj_ptqi66GCucihVvJfMjLAmec39IyEx_6qawtMGysU/edit?usp=sharing"",""สบก!AN70"")"),0)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IFERROR(__xludf.DUMMYFUNCTION("IMPORTRANGE(""https://docs.google.com/spreadsheets/d/1Yj_ptqi66GCucihVvJfMjLAmec39IyEx_6qawtMGysU/edit?usp=sharing"",""สบก!AO70"")"),0)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5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5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5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5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5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5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IFERROR(__xludf.DUMMYFUNCTION("IMPORTRANGE(""https://docs.google.com/spreadsheets/d/1Yj_ptqi66GCucihVvJfMjLAmec39IyEx_6qawtMGysU/edit?usp=sharing"",""สบก!BA70"")"),0)</f>
        <v>0</v>
      </c>
      <c r="N122" s="170">
        <f ca="1">IFERROR(__xludf.DUMMYFUNCTION("IMPORTRANGE(""https://docs.google.com/spreadsheets/d/1Yj_ptqi66GCucihVvJfMjLAmec39IyEx_6qawtMGysU/edit?usp=sharing"",""สบก!BB70"")"),0)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IFERROR(__xludf.DUMMYFUNCTION("IMPORTRANGE(""https://docs.google.com/spreadsheets/d/1Yj_ptqi66GCucihVvJfMjLAmec39IyEx_6qawtMGysU/edit?usp=sharing"",""สบก!AW70"")"),0)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IFERROR(__xludf.DUMMYFUNCTION("IMPORTRANGE(""https://docs.google.com/spreadsheets/d/1Yj_ptqi66GCucihVvJfMjLAmec39IyEx_6qawtMGysU/edit?usp=sharing"",""สบก!AX70"")"),0)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261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5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5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670200</v>
      </c>
      <c r="M140" s="152">
        <f t="shared" ca="1" si="64"/>
        <v>446430</v>
      </c>
      <c r="N140" s="152">
        <f t="shared" ca="1" si="64"/>
        <v>321511</v>
      </c>
      <c r="O140" s="151">
        <f t="shared" ref="O140:O142" ca="1" si="65">IF(L140&gt;0,N140*100/L140,0)</f>
        <v>47.972396299612058</v>
      </c>
      <c r="P140" s="151">
        <f t="shared" ref="P140:P142" ca="1" si="66">IF(M140&gt;0,N140*100/M140,0)</f>
        <v>72.018233541652663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670200</v>
      </c>
      <c r="M142" s="157">
        <f t="shared" ca="1" si="68"/>
        <v>446430</v>
      </c>
      <c r="N142" s="157">
        <f t="shared" ca="1" si="68"/>
        <v>321511</v>
      </c>
      <c r="O142" s="156">
        <f t="shared" ca="1" si="65"/>
        <v>47.972396299612058</v>
      </c>
      <c r="P142" s="156">
        <f t="shared" ca="1" si="66"/>
        <v>72.018233541652663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670200</v>
      </c>
      <c r="M144" s="169">
        <f ca="1">IFERROR(__xludf.DUMMYFUNCTION("IMPORTRANGE(""https://docs.google.com/spreadsheets/d/1Yj_ptqi66GCucihVvJfMjLAmec39IyEx_6qawtMGysU/edit?usp=sharing"",""สบก!BJ70"")"),446430)</f>
        <v>446430</v>
      </c>
      <c r="N144" s="170">
        <f ca="1">IFERROR(__xludf.DUMMYFUNCTION("IMPORTRANGE(""https://docs.google.com/spreadsheets/d/1Yj_ptqi66GCucihVvJfMjLAmec39IyEx_6qawtMGysU/edit?usp=sharing"",""สบก!BK70"")"),321511)</f>
        <v>321511</v>
      </c>
      <c r="O144" s="170">
        <f ca="1">IF(L144&gt;0,N144*100/L144,0)</f>
        <v>47.972396299612058</v>
      </c>
      <c r="P144" s="170">
        <f ca="1">IF(M144&gt;0,N144*100/M144,0)</f>
        <v>72.018233541652663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IFERROR(__xludf.DUMMYFUNCTION("IMPORTRANGE(""https://docs.google.com/spreadsheets/d/1Yj_ptqi66GCucihVvJfMjLAmec39IyEx_6qawtMGysU/edit?usp=sharing"",""สบก!BF70"")"),396000)</f>
        <v>396000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IFERROR(__xludf.DUMMYFUNCTION("IMPORTRANGE(""https://docs.google.com/spreadsheets/d/1Yj_ptqi66GCucihVvJfMjLAmec39IyEx_6qawtMGysU/edit?usp=sharing"",""สบก!BG70"")"),274200)</f>
        <v>274200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IFERROR(__xludf.DUMMYFUNCTION("IMPORTRANGE(""https://docs.google.com/spreadsheets/d/1SX6NBoVAgQJ6U1MVXOaj8PK2l7WJ3RER9xtqwdhxkhw/edit?usp=sharing"",""พระนครศรีอยุธยา!J82"")"),0)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90">
        <f ca="1">IFERROR(__xludf.DUMMYFUNCTION("IMPORTRANGE(""https://docs.google.com/spreadsheets/d/1SX6NBoVAgQJ6U1MVXOaj8PK2l7WJ3RER9xtqwdhxkhw/edit?usp=sharing"",""พระนครศรีอยุธยา!J83"")"),1)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IFERROR(__xludf.DUMMYFUNCTION("IMPORTRANGE(""https://docs.google.com/spreadsheets/d/1SX6NBoVAgQJ6U1MVXOaj8PK2l7WJ3RER9xtqwdhxkhw/edit?usp=sharing"",""พระนครศรีอยุธยา!J84"")"),22)</f>
        <v>22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IFERROR(__xludf.DUMMYFUNCTION("IMPORTRANGE(""https://docs.google.com/spreadsheets/d/1SX6NBoVAgQJ6U1MVXOaj8PK2l7WJ3RER9xtqwdhxkhw/edit?usp=sharing"",""พระนครศรีอยุธยา!J85"")"),22)</f>
        <v>22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4">
        <f ca="1">IFERROR(__xludf.DUMMYFUNCTION("IMPORTRANGE(""https://docs.google.com/spreadsheets/d/1SX6NBoVAgQJ6U1MVXOaj8PK2l7WJ3RER9xtqwdhxkhw/edit?usp=sharing"",""พระนครศรีอยุธยา!J89"")"),0)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90">
        <f ca="1">IFERROR(__xludf.DUMMYFUNCTION("IMPORTRANGE(""https://docs.google.com/spreadsheets/d/1SX6NBoVAgQJ6U1MVXOaj8PK2l7WJ3RER9xtqwdhxkhw/edit?usp=sharing"",""พระนครศรีอยุธยา!J98"")"),0)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4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5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5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4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90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90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90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4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5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5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5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IFERROR(__xludf.DUMMYFUNCTION("IMPORTRANGE(""https://docs.google.com/spreadsheets/d/1SX6NBoVAgQJ6U1MVXOaj8PK2l7WJ3RER9xtqwdhxkhw/edit?usp=sharing"",""พระนครศรีอยุธยา!J144"")"),22)</f>
        <v>22</v>
      </c>
      <c r="K219" s="269">
        <f ca="1">IF(I219&gt;0,J219*100/I219,0)</f>
        <v>146.66666666666666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20698</v>
      </c>
      <c r="O220" s="151">
        <f t="shared" ref="O220:O222" ca="1" si="73">IF(L220&gt;0,N220*100/L220,0)</f>
        <v>97.978698224852067</v>
      </c>
      <c r="P220" s="151">
        <f t="shared" ref="P220:P222" ca="1" si="74">IF(M220&gt;0,N220*100/M220,0)</f>
        <v>97.978698224852067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20698</v>
      </c>
      <c r="O222" s="156">
        <f t="shared" ca="1" si="73"/>
        <v>97.978698224852067</v>
      </c>
      <c r="P222" s="156">
        <f t="shared" ca="1" si="74"/>
        <v>97.978698224852067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IFERROR(__xludf.DUMMYFUNCTION("IMPORTRANGE(""https://docs.google.com/spreadsheets/d/1Yj_ptqi66GCucihVvJfMjLAmec39IyEx_6qawtMGysU/edit?usp=sharing"",""สบก!BS70"")"),21125)</f>
        <v>21125</v>
      </c>
      <c r="N224" s="170">
        <f ca="1">IFERROR(__xludf.DUMMYFUNCTION("IMPORTRANGE(""https://docs.google.com/spreadsheets/d/1Yj_ptqi66GCucihVvJfMjLAmec39IyEx_6qawtMGysU/edit?usp=sharing"",""สบก!BT70"")"),20698)</f>
        <v>20698</v>
      </c>
      <c r="O224" s="170">
        <f ca="1">IF(L224&gt;0,N224*100/L224,0)</f>
        <v>97.978698224852067</v>
      </c>
      <c r="P224" s="170">
        <f ca="1">IF(M224&gt;0,N224*100/M224,0)</f>
        <v>97.978698224852067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IFERROR(__xludf.DUMMYFUNCTION("IMPORTRANGE(""https://docs.google.com/spreadsheets/d/1Yj_ptqi66GCucihVvJfMjLAmec39IyEx_6qawtMGysU/edit?usp=sharing"",""สบก!BO70"")"),0)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IFERROR(__xludf.DUMMYFUNCTION("IMPORTRANGE(""https://docs.google.com/spreadsheets/d/1Yj_ptqi66GCucihVvJfMjLAmec39IyEx_6qawtMGysU/edit?usp=sharing"",""สบก!BP70"")"),21125)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IFERROR(__xludf.DUMMYFUNCTION("IMPORTRANGE(""https://docs.google.com/spreadsheets/d/1SX6NBoVAgQJ6U1MVXOaj8PK2l7WJ3RER9xtqwdhxkhw/edit?usp=sharing"",""พระนครศรีอยุธยา!J149"")"),22)</f>
        <v>22</v>
      </c>
      <c r="K229" s="269">
        <f ca="1">IF(I229&gt;0,J229*100/I229,0)</f>
        <v>146.66666666666666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90">
        <f ca="1">IFERROR(__xludf.DUMMYFUNCTION("IMPORTRANGE(""https://docs.google.com/spreadsheets/d/1SX6NBoVAgQJ6U1MVXOaj8PK2l7WJ3RER9xtqwdhxkhw/edit?usp=sharing"",""พระนครศรีอยุธยา!J155"")"),22)</f>
        <v>22</v>
      </c>
      <c r="K235" s="165">
        <f ca="1">IF(I235&gt;0,J235*100/I235,0)</f>
        <v>146.66666666666666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6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IFERROR(__xludf.DUMMYFUNCTION("IMPORTRANGE(""https://docs.google.com/spreadsheets/d/1Yj_ptqi66GCucihVvJfMjLAmec39IyEx_6qawtMGysU/edit?usp=sharing"",""สบก!CB70"")"),0)</f>
        <v>0</v>
      </c>
      <c r="N254" s="170">
        <f ca="1">IFERROR(__xludf.DUMMYFUNCTION("IMPORTRANGE(""https://docs.google.com/spreadsheets/d/1Yj_ptqi66GCucihVvJfMjLAmec39IyEx_6qawtMGysU/edit?usp=sharing"",""สบก!CC70"")"),0)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IFERROR(__xludf.DUMMYFUNCTION("IMPORTRANGE(""https://docs.google.com/spreadsheets/d/1Yj_ptqi66GCucihVvJfMjLAmec39IyEx_6qawtMGysU/edit?usp=sharing"",""สบก!BX70"")"),0)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IFERROR(__xludf.DUMMYFUNCTION("IMPORTRANGE(""https://docs.google.com/spreadsheets/d/1Yj_ptqi66GCucihVvJfMjLAmec39IyEx_6qawtMGysU/edit?usp=sharing"",""สบก!BY70"")"),0)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90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90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90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90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6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IFERROR(__xludf.DUMMYFUNCTION("IMPORTRANGE(""https://docs.google.com/spreadsheets/d/1Yj_ptqi66GCucihVvJfMjLAmec39IyEx_6qawtMGysU/edit?usp=sharing"",""สบก!CK70"")"),0)</f>
        <v>0</v>
      </c>
      <c r="N275" s="170">
        <f ca="1">IFERROR(__xludf.DUMMYFUNCTION("IMPORTRANGE(""https://docs.google.com/spreadsheets/d/1Yj_ptqi66GCucihVvJfMjLAmec39IyEx_6qawtMGysU/edit?usp=sharing"",""สบก!CL70"")"),0)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IFERROR(__xludf.DUMMYFUNCTION("IMPORTRANGE(""https://docs.google.com/spreadsheets/d/1Yj_ptqi66GCucihVvJfMjLAmec39IyEx_6qawtMGysU/edit?usp=sharing"",""สบก!CG70"")"),0)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IFERROR(__xludf.DUMMYFUNCTION("IMPORTRANGE(""https://docs.google.com/spreadsheets/d/1Yj_ptqi66GCucihVvJfMjLAmec39IyEx_6qawtMGysU/edit?usp=sharing"",""สบก!CH70"")"),0)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90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6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IFERROR(__xludf.DUMMYFUNCTION("IMPORTRANGE(""https://docs.google.com/spreadsheets/d/1Yj_ptqi66GCucihVvJfMjLAmec39IyEx_6qawtMGysU/edit?usp=sharing"",""สบก!CT70"")"),0)</f>
        <v>0</v>
      </c>
      <c r="N294" s="170">
        <f ca="1">IFERROR(__xludf.DUMMYFUNCTION("IMPORTRANGE(""https://docs.google.com/spreadsheets/d/1Yj_ptqi66GCucihVvJfMjLAmec39IyEx_6qawtMGysU/edit?usp=sharing"",""สบก!CU70"")"),0)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IFERROR(__xludf.DUMMYFUNCTION("IMPORTRANGE(""https://docs.google.com/spreadsheets/d/1Yj_ptqi66GCucihVvJfMjLAmec39IyEx_6qawtMGysU/edit?usp=sharing"",""สบก!CP70"")"),0)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IFERROR(__xludf.DUMMYFUNCTION("IMPORTRANGE(""https://docs.google.com/spreadsheets/d/1Yj_ptqi66GCucihVvJfMjLAmec39IyEx_6qawtMGysU/edit?usp=sharing"",""สบก!CQ70"")"),0)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5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5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3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IFERROR(__xludf.DUMMYFUNCTION("IMPORTRANGE(""https://docs.google.com/spreadsheets/d/1Yj_ptqi66GCucihVvJfMjLAmec39IyEx_6qawtMGysU/edit?usp=sharing"",""สบก!DC70"")"),0)</f>
        <v>0</v>
      </c>
      <c r="N314" s="170">
        <f ca="1">IFERROR(__xludf.DUMMYFUNCTION("IMPORTRANGE(""https://docs.google.com/spreadsheets/d/1Yj_ptqi66GCucihVvJfMjLAmec39IyEx_6qawtMGysU/edit?usp=sharing"",""สบก!DD70"")"),0)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IFERROR(__xludf.DUMMYFUNCTION("IMPORTRANGE(""https://docs.google.com/spreadsheets/d/1Yj_ptqi66GCucihVvJfMjLAmec39IyEx_6qawtMGysU/edit?usp=sharing"",""สบก!CY70"")"),0)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IFERROR(__xludf.DUMMYFUNCTION("IMPORTRANGE(""https://docs.google.com/spreadsheets/d/1Yj_ptqi66GCucihVvJfMjLAmec39IyEx_6qawtMGysU/edit?usp=sharing"",""สบก!CZ70"")"),0)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5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39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539310</v>
      </c>
      <c r="M329" s="152">
        <f t="shared" ca="1" si="98"/>
        <v>296260</v>
      </c>
      <c r="N329" s="152">
        <f t="shared" ca="1" si="98"/>
        <v>262403</v>
      </c>
      <c r="O329" s="151">
        <f t="shared" ref="O329:O331" ca="1" si="99">IF(L329&gt;0,N329*100/L329,0)</f>
        <v>48.65531883332406</v>
      </c>
      <c r="P329" s="151">
        <f t="shared" ref="P329:P331" ca="1" si="100">IF(M329&gt;0,N329*100/M329,0)</f>
        <v>88.571862553162759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539310</v>
      </c>
      <c r="M331" s="157">
        <f t="shared" ca="1" si="102"/>
        <v>296260</v>
      </c>
      <c r="N331" s="157">
        <f t="shared" ca="1" si="102"/>
        <v>262403</v>
      </c>
      <c r="O331" s="156">
        <f t="shared" ca="1" si="99"/>
        <v>48.65531883332406</v>
      </c>
      <c r="P331" s="156">
        <f t="shared" ca="1" si="100"/>
        <v>88.571862553162759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486110</v>
      </c>
      <c r="M333" s="169">
        <f ca="1">IFERROR(__xludf.DUMMYFUNCTION("IMPORTRANGE(""https://docs.google.com/spreadsheets/d/1Yj_ptqi66GCucihVvJfMjLAmec39IyEx_6qawtMGysU/edit?usp=sharing"",""สบก!DL70"")"),243060)</f>
        <v>243060</v>
      </c>
      <c r="N333" s="170">
        <f ca="1">IFERROR(__xludf.DUMMYFUNCTION("IMPORTRANGE(""https://docs.google.com/spreadsheets/d/1Yj_ptqi66GCucihVvJfMjLAmec39IyEx_6qawtMGysU/edit?usp=sharing"",""สบก!DM70"")"),209203)</f>
        <v>209203</v>
      </c>
      <c r="O333" s="170">
        <f ca="1">IF(L333&gt;0,N333*100/L333,0)</f>
        <v>43.036144082615046</v>
      </c>
      <c r="P333" s="170">
        <f ca="1">IF(M333&gt;0,N333*100/M333,0)</f>
        <v>86.070517567678763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IFERROR(__xludf.DUMMYFUNCTION("IMPORTRANGE(""https://docs.google.com/spreadsheets/d/1Yj_ptqi66GCucihVvJfMjLAmec39IyEx_6qawtMGysU/edit?usp=sharing"",""สบก!DH70"")"),306000)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IFERROR(__xludf.DUMMYFUNCTION("IMPORTRANGE(""https://docs.google.com/spreadsheets/d/1Yj_ptqi66GCucihVvJfMjLAmec39IyEx_6qawtMGysU/edit?usp=sharing"",""สบก!DI70"")"),180110)</f>
        <v>180110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9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9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9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9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9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9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9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9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IFERROR(__xludf.DUMMYFUNCTION("IMPORTRANGE(""https://docs.google.com/spreadsheets/d/1SX6NBoVAgQJ6U1MVXOaj8PK2l7WJ3RER9xtqwdhxkhw/edit?usp=sharing"",""พระนครศรีอยุธยา!L242"")"),618847)</f>
        <v>618847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IFERROR(__xludf.DUMMYFUNCTION("IMPORTRANGE(""https://docs.google.com/spreadsheets/d/1SX6NBoVAgQJ6U1MVXOaj8PK2l7WJ3RER9xtqwdhxkhw/edit?usp=sharing"",""พระนครศรีอยุธยา!M242"")"),49288.64)</f>
        <v>49288.639999999999</v>
      </c>
      <c r="O347" s="358">
        <f ca="1">+IF(L347&gt;0,N347*100/L347,0)</f>
        <v>7.9645922174624744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6"/>
      <c r="N351" s="166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7"/>
      <c r="N352" s="166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70"/>
      <c r="N353" s="170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70"/>
      <c r="N354" s="169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9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5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5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90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90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5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9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90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5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6"/>
      <c r="N382" s="166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7"/>
      <c r="N383" s="167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7">
        <f t="shared" ca="1" si="109"/>
        <v>0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70"/>
      <c r="N384" s="170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70"/>
      <c r="N385" s="169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70">
        <f t="shared" ca="1" si="109"/>
        <v>0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IFERROR(__xludf.DUMMYFUNCTION("IMPORTRANGE(""https://docs.google.com/spreadsheets/d/1SX6NBoVAgQJ6U1MVXOaj8PK2l7WJ3RER9xtqwdhxkhw/edit?usp=sharing"",""พระนครศรีอยุธยา!J287"")"),1)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IFERROR(__xludf.DUMMYFUNCTION("IMPORTRANGE(""https://docs.google.com/spreadsheets/d/1SX6NBoVAgQJ6U1MVXOaj8PK2l7WJ3RER9xtqwdhxkhw/edit?usp=sharing"",""พระนครศรีอยุธยา!J288"")"),1)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9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9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9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IFERROR(__xludf.DUMMYFUNCTION("IMPORTRANGE(""https://docs.google.com/spreadsheets/d/1SX6NBoVAgQJ6U1MVXOaj8PK2l7WJ3RER9xtqwdhxkhw/edit?usp=sharing"",""พระนครศรีอยุธยา!M296"")"),3220)</f>
        <v>3220</v>
      </c>
      <c r="O401" s="373">
        <f ca="1">+IF(L401&gt;0,N401*100/L401,0)</f>
        <v>1.3995740426826617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6"/>
      <c r="N403" s="170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7"/>
      <c r="N404" s="170">
        <f ca="1">IFERROR(__xludf.DUMMYFUNCTION("IMPORTRANGE(""https://docs.google.com/spreadsheets/d/1SX6NBoVAgQJ6U1MVXOaj8PK2l7WJ3RER9xtqwdhxkhw/edit?usp=sharing"",""พระนครศรีอยุธยา!M299"")"),3220)</f>
        <v>3220</v>
      </c>
      <c r="O404" s="170">
        <f t="shared" ca="1" si="112"/>
        <v>1.3995740426826617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70"/>
      <c r="N405" s="170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70"/>
      <c r="N406" s="170">
        <f ca="1">IFERROR(__xludf.DUMMYFUNCTION("IMPORTRANGE(""https://docs.google.com/spreadsheets/d/1SX6NBoVAgQJ6U1MVXOaj8PK2l7WJ3RER9xtqwdhxkhw/edit?usp=sharing"",""พระนครศรีอยุธยา!M301"")"),3220)</f>
        <v>3220</v>
      </c>
      <c r="O406" s="170">
        <f t="shared" ca="1" si="112"/>
        <v>1.3995740426826617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IFERROR(__xludf.DUMMYFUNCTION("IMPORTRANGE(""https://docs.google.com/spreadsheets/d/1SX6NBoVAgQJ6U1MVXOaj8PK2l7WJ3RER9xtqwdhxkhw/edit?usp=sharing"",""พระนครศรีอยุธยา!M302"")"),0)</f>
        <v>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IFERROR(__xludf.DUMMYFUNCTION("IMPORTRANGE(""https://docs.google.com/spreadsheets/d/1SX6NBoVAgQJ6U1MVXOaj8PK2l7WJ3RER9xtqwdhxkhw/edit?usp=sharing"",""พระนครศรีอยุธยา!M305"")"),3220)</f>
        <v>3220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IFERROR(__xludf.DUMMYFUNCTION("IMPORTRANGE(""https://docs.google.com/spreadsheets/d/1SX6NBoVAgQJ6U1MVXOaj8PK2l7WJ3RER9xtqwdhxkhw/edit?usp=sharing"",""พระนครศรีอยุธยา!J310"")"),0)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2">
        <f ca="1">IFERROR(__xludf.DUMMYFUNCTION("IMPORTRANGE(""https://docs.google.com/spreadsheets/d/1SX6NBoVAgQJ6U1MVXOaj8PK2l7WJ3RER9xtqwdhxkhw/edit?usp=sharing"",""พระนครศรีอยุธยา!J311"")"),0)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IFERROR(__xludf.DUMMYFUNCTION("IMPORTRANGE(""https://docs.google.com/spreadsheets/d/1SX6NBoVAgQJ6U1MVXOaj8PK2l7WJ3RER9xtqwdhxkhw/edit?usp=sharing"",""พระนครศรีอยุธยา!M330"")"),17804)</f>
        <v>17804</v>
      </c>
      <c r="O435" s="412">
        <f t="shared" ref="O435:O439" ca="1" si="114">+IF(L435&gt;0,N435*100/L435,0)</f>
        <v>15.08813559322034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6"/>
      <c r="N436" s="170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7"/>
      <c r="N437" s="170">
        <f ca="1">IFERROR(__xludf.DUMMYFUNCTION("IMPORTRANGE(""https://docs.google.com/spreadsheets/d/1SX6NBoVAgQJ6U1MVXOaj8PK2l7WJ3RER9xtqwdhxkhw/edit?usp=sharing"",""พระนครศรีอยุธยา!M332"")"),17804)</f>
        <v>17804</v>
      </c>
      <c r="O437" s="170">
        <f t="shared" ca="1" si="114"/>
        <v>15.08813559322034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70"/>
      <c r="N438" s="170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70"/>
      <c r="N439" s="170">
        <f ca="1">IFERROR(__xludf.DUMMYFUNCTION("IMPORTRANGE(""https://docs.google.com/spreadsheets/d/1SX6NBoVAgQJ6U1MVXOaj8PK2l7WJ3RER9xtqwdhxkhw/edit?usp=sharing"",""พระนครศรีอยุธยา!M334"")"),17804)</f>
        <v>17804</v>
      </c>
      <c r="O439" s="170">
        <f t="shared" ca="1" si="114"/>
        <v>15.08813559322034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IFERROR(__xludf.DUMMYFUNCTION("IMPORTRANGE(""https://docs.google.com/spreadsheets/d/1SX6NBoVAgQJ6U1MVXOaj8PK2l7WJ3RER9xtqwdhxkhw/edit?usp=sharing"",""พระนครศรีอยุธยา!M335"")"),17804)</f>
        <v>17804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IFERROR(__xludf.DUMMYFUNCTION("IMPORTRANGE(""https://docs.google.com/spreadsheets/d/1SX6NBoVAgQJ6U1MVXOaj8PK2l7WJ3RER9xtqwdhxkhw/edit?usp=sharing"",""พระนครศรีอยุธยา!M338"")"),0)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IFERROR(__xludf.DUMMYFUNCTION("IMPORTRANGE(""https://docs.google.com/spreadsheets/d/1SX6NBoVAgQJ6U1MVXOaj8PK2l7WJ3RER9xtqwdhxkhw/edit?usp=sharing"",""พระนครศรีอยุธยา!J343"")"),0)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2">
        <f ca="1">IFERROR(__xludf.DUMMYFUNCTION("IMPORTRANGE(""https://docs.google.com/spreadsheets/d/1SX6NBoVAgQJ6U1MVXOaj8PK2l7WJ3RER9xtqwdhxkhw/edit?usp=sharing"",""พระนครศรีอยุธยา!J344"")"),0)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90">
        <f ca="1">IFERROR(__xludf.DUMMYFUNCTION("IMPORTRANGE(""https://docs.google.com/spreadsheets/d/1SX6NBoVAgQJ6U1MVXOaj8PK2l7WJ3RER9xtqwdhxkhw/edit?usp=sharing"",""พระนครศรีอยุธยา!J345"")"),0)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9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9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IFERROR(__xludf.DUMMYFUNCTION("IMPORTRANGE(""https://docs.google.com/spreadsheets/d/1SX6NBoVAgQJ6U1MVXOaj8PK2l7WJ3RER9xtqwdhxkhw/edit?usp=sharing"",""พระนครศรีอยุธยา!L350"")"),103457)</f>
        <v>103457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6"/>
      <c r="N456" s="170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IFERROR(__xludf.DUMMYFUNCTION("IMPORTRANGE(""https://docs.google.com/spreadsheets/d/1SX6NBoVAgQJ6U1MVXOaj8PK2l7WJ3RER9xtqwdhxkhw/edit?usp=sharing"",""พระนครศรีอยุธยา!L352"")"),103457)</f>
        <v>103457</v>
      </c>
      <c r="M457" s="167"/>
      <c r="N457" s="170">
        <f ca="1">IFERROR(__xludf.DUMMYFUNCTION("IMPORTRANGE(""https://docs.google.com/spreadsheets/d/1SX6NBoVAgQJ6U1MVXOaj8PK2l7WJ3RER9xtqwdhxkhw/edit?usp=sharing"",""พระนครศรีอยุธยา!M352"")"),0)</f>
        <v>0</v>
      </c>
      <c r="O457" s="170">
        <f t="shared" ca="1" si="116"/>
        <v>0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70"/>
      <c r="N458" s="170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IFERROR(__xludf.DUMMYFUNCTION("IMPORTRANGE(""https://docs.google.com/spreadsheets/d/1SX6NBoVAgQJ6U1MVXOaj8PK2l7WJ3RER9xtqwdhxkhw/edit?usp=sharing"",""พระนครศรีอยุธยา!L354"")"),103457)</f>
        <v>103457</v>
      </c>
      <c r="M459" s="170"/>
      <c r="N459" s="170">
        <f ca="1">IFERROR(__xludf.DUMMYFUNCTION("IMPORTRANGE(""https://docs.google.com/spreadsheets/d/1SX6NBoVAgQJ6U1MVXOaj8PK2l7WJ3RER9xtqwdhxkhw/edit?usp=sharing"",""พระนครศรีอยุธยา!M354"")"),0)</f>
        <v>0</v>
      </c>
      <c r="O459" s="170">
        <f t="shared" ca="1" si="116"/>
        <v>0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IFERROR(__xludf.DUMMYFUNCTION("IMPORTRANGE(""https://docs.google.com/spreadsheets/d/1SX6NBoVAgQJ6U1MVXOaj8PK2l7WJ3RER9xtqwdhxkhw/edit?usp=sharing"",""พระนครศรีอยุธยา!M358"")"),0)</f>
        <v>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IFERROR(__xludf.DUMMYFUNCTION("IMPORTRANGE(""https://docs.google.com/spreadsheets/d/1SX6NBoVAgQJ6U1MVXOaj8PK2l7WJ3RER9xtqwdhxkhw/edit?usp=sharing"",""พระนครศรีอยุธยา!J360"")"),1976.22)</f>
        <v>1976.22</v>
      </c>
      <c r="K465" s="203">
        <f t="shared" ca="1" si="117"/>
        <v>89.139377537212454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IFERROR(__xludf.DUMMYFUNCTION("IMPORTRANGE(""https://docs.google.com/spreadsheets/d/1SX6NBoVAgQJ6U1MVXOaj8PK2l7WJ3RER9xtqwdhxkhw/edit?usp=sharing"",""พระนครศรีอยุธยา!J361"")"),195)</f>
        <v>195</v>
      </c>
      <c r="K466" s="203">
        <f t="shared" ca="1" si="117"/>
        <v>85.903083700440533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90">
        <f ca="1">IFERROR(__xludf.DUMMYFUNCTION("IMPORTRANGE(""https://docs.google.com/spreadsheets/d/1SX6NBoVAgQJ6U1MVXOaj8PK2l7WJ3RER9xtqwdhxkhw/edit?usp=sharing"",""พระนครศรีอยุธยา!J362"")"),1713.64)</f>
        <v>1713.64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90">
        <f ca="1">IFERROR(__xludf.DUMMYFUNCTION("IMPORTRANGE(""https://docs.google.com/spreadsheets/d/1SX6NBoVAgQJ6U1MVXOaj8PK2l7WJ3RER9xtqwdhxkhw/edit?usp=sharing"",""พระนครศรีอยุธยา!J363"")"),159)</f>
        <v>159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90">
        <f ca="1">IFERROR(__xludf.DUMMYFUNCTION("IMPORTRANGE(""https://docs.google.com/spreadsheets/d/1SX6NBoVAgQJ6U1MVXOaj8PK2l7WJ3RER9xtqwdhxkhw/edit?usp=sharing"",""พระนครศรีอยุธยา!J364"")"),53.86)</f>
        <v>53.86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90">
        <f ca="1">IFERROR(__xludf.DUMMYFUNCTION("IMPORTRANGE(""https://docs.google.com/spreadsheets/d/1SX6NBoVAgQJ6U1MVXOaj8PK2l7WJ3RER9xtqwdhxkhw/edit?usp=sharing"",""พระนครศรีอยุธยา!J365"")"),14)</f>
        <v>14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90">
        <f ca="1">IFERROR(__xludf.DUMMYFUNCTION("IMPORTRANGE(""https://docs.google.com/spreadsheets/d/1SX6NBoVAgQJ6U1MVXOaj8PK2l7WJ3RER9xtqwdhxkhw/edit?usp=sharing"",""พระนครศรีอยุธยา!J366"")"),208.72)</f>
        <v>208.72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90">
        <f ca="1">IFERROR(__xludf.DUMMYFUNCTION("IMPORTRANGE(""https://docs.google.com/spreadsheets/d/1SX6NBoVAgQJ6U1MVXOaj8PK2l7WJ3RER9xtqwdhxkhw/edit?usp=sharing"",""พระนครศรีอยุธยา!J367"")"),22)</f>
        <v>22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90">
        <f ca="1">IFERROR(__xludf.DUMMYFUNCTION("IMPORTRANGE(""https://docs.google.com/spreadsheets/d/1SX6NBoVAgQJ6U1MVXOaj8PK2l7WJ3RER9xtqwdhxkhw/edit?usp=sharing"",""พระนครศรีอยุธยา!J370"")"),0)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90">
        <f ca="1">IFERROR(__xludf.DUMMYFUNCTION("IMPORTRANGE(""https://docs.google.com/spreadsheets/d/1SX6NBoVAgQJ6U1MVXOaj8PK2l7WJ3RER9xtqwdhxkhw/edit?usp=sharing"",""พระนครศรีอยุธยา!J371"")"),0)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90">
        <f ca="1">IFERROR(__xludf.DUMMYFUNCTION("IMPORTRANGE(""https://docs.google.com/spreadsheets/d/1SX6NBoVAgQJ6U1MVXOaj8PK2l7WJ3RER9xtqwdhxkhw/edit?usp=sharing"",""พระนครศรีอยุธยา!J372"")"),0)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90">
        <f ca="1">IFERROR(__xludf.DUMMYFUNCTION("IMPORTRANGE(""https://docs.google.com/spreadsheets/d/1SX6NBoVAgQJ6U1MVXOaj8PK2l7WJ3RER9xtqwdhxkhw/edit?usp=sharing"",""พระนครศรีอยุธยา!J373"")"),0)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90">
        <f ca="1">IFERROR(__xludf.DUMMYFUNCTION("IMPORTRANGE(""https://docs.google.com/spreadsheets/d/1SX6NBoVAgQJ6U1MVXOaj8PK2l7WJ3RER9xtqwdhxkhw/edit?usp=sharing"",""พระนครศรีอยุธยา!J374"")"),0)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90">
        <f ca="1">IFERROR(__xludf.DUMMYFUNCTION("IMPORTRANGE(""https://docs.google.com/spreadsheets/d/1SX6NBoVAgQJ6U1MVXOaj8PK2l7WJ3RER9xtqwdhxkhw/edit?usp=sharing"",""พระนครศรีอยุธยา!J375"")"),0)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90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90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90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90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90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90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90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90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90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4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4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90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9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90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9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90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9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4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4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9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9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9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9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9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9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4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4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9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9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9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9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9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9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4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4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9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9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9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9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9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IFERROR(__xludf.DUMMYFUNCTION("IMPORTRANGE(""https://docs.google.com/spreadsheets/d/1SX6NBoVAgQJ6U1MVXOaj8PK2l7WJ3RER9xtqwdhxkhw/edit?usp=sharing"",""พระนครศรีอยุธยา!M428"")"),16984)</f>
        <v>16984</v>
      </c>
      <c r="O533" s="412">
        <f t="shared" ref="O533:O537" ca="1" si="118">+IF(L533&gt;0,N533*100/L533,0)</f>
        <v>49.458357600465931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6"/>
      <c r="N534" s="170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7"/>
      <c r="N535" s="170">
        <f ca="1">IFERROR(__xludf.DUMMYFUNCTION("IMPORTRANGE(""https://docs.google.com/spreadsheets/d/1SX6NBoVAgQJ6U1MVXOaj8PK2l7WJ3RER9xtqwdhxkhw/edit?usp=sharing"",""พระนครศรีอยุธยา!M430"")"),16984)</f>
        <v>16984</v>
      </c>
      <c r="O535" s="170">
        <f t="shared" ca="1" si="118"/>
        <v>49.458357600465931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70"/>
      <c r="N536" s="170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70"/>
      <c r="N537" s="170">
        <f ca="1">IFERROR(__xludf.DUMMYFUNCTION("IMPORTRANGE(""https://docs.google.com/spreadsheets/d/1SX6NBoVAgQJ6U1MVXOaj8PK2l7WJ3RER9xtqwdhxkhw/edit?usp=sharing"",""พระนครศรีอยุธยา!M432"")"),16984)</f>
        <v>16984</v>
      </c>
      <c r="O537" s="170">
        <f t="shared" ca="1" si="118"/>
        <v>49.458357600465931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IFERROR(__xludf.DUMMYFUNCTION("IMPORTRANGE(""https://docs.google.com/spreadsheets/d/1SX6NBoVAgQJ6U1MVXOaj8PK2l7WJ3RER9xtqwdhxkhw/edit?usp=sharing"",""พระนครศรีอยุธยา!M433"")"),16984)</f>
        <v>16984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IFERROR(__xludf.DUMMYFUNCTION("IMPORTRANGE(""https://docs.google.com/spreadsheets/d/1SX6NBoVAgQJ6U1MVXOaj8PK2l7WJ3RER9xtqwdhxkhw/edit?usp=sharing"",""พระนครศรีอยุธยา!M436"")"),0)</f>
        <v>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90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6"/>
      <c r="N552" s="170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7"/>
      <c r="N553" s="170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70"/>
      <c r="N554" s="170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70"/>
      <c r="N555" s="170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4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5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IFERROR(__xludf.DUMMYFUNCTION("IMPORTRANGE(""https://docs.google.com/spreadsheets/d/1SX6NBoVAgQJ6U1MVXOaj8PK2l7WJ3RER9xtqwdhxkhw/edit?usp=sharing"",""พระนครศรีอยุธยา!I457"")"),0)</f>
        <v>0</v>
      </c>
      <c r="J562" s="205" t="str">
        <f ca="1">IFERROR(__xludf.DUMMYFUNCTION("IMPORTRANGE(""https://docs.google.com/spreadsheets/d/1SX6NBoVAgQJ6U1MVXOaj8PK2l7WJ3RER9xtqwdhxkhw/edit?usp=sharing"",""พระนครศรีอยุธยา!J457"")"),"")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IFERROR(__xludf.DUMMYFUNCTION("IMPORTRANGE(""https://docs.google.com/spreadsheets/d/1SX6NBoVAgQJ6U1MVXOaj8PK2l7WJ3RER9xtqwdhxkhw/edit?usp=sharing"",""พระนครศรีอยุธยา!I458"")"),0)</f>
        <v>0</v>
      </c>
      <c r="J563" s="189" t="str">
        <f ca="1">IFERROR(__xludf.DUMMYFUNCTION("IMPORTRANGE(""https://docs.google.com/spreadsheets/d/1SX6NBoVAgQJ6U1MVXOaj8PK2l7WJ3RER9xtqwdhxkhw/edit?usp=sharing"",""พระนครศรีอยุธยา!J458"")"),"")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IFERROR(__xludf.DUMMYFUNCTION("IMPORTRANGE(""https://docs.google.com/spreadsheets/d/1SX6NBoVAgQJ6U1MVXOaj8PK2l7WJ3RER9xtqwdhxkhw/edit?usp=sharing"",""พระนครศรีอยุธยา!J459"")"),195)</f>
        <v>195</v>
      </c>
      <c r="K564" s="372">
        <f t="shared" ca="1" si="121"/>
        <v>130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IFERROR(__xludf.DUMMYFUNCTION("IMPORTRANGE(""https://docs.google.com/spreadsheets/d/1SX6NBoVAgQJ6U1MVXOaj8PK2l7WJ3RER9xtqwdhxkhw/edit?usp=sharing"",""พระนครศรีอยุธยา!M459"")"),11280.64)</f>
        <v>11280.64</v>
      </c>
      <c r="O564" s="373">
        <f t="shared" ref="O564:O568" ca="1" si="122">+IF(L564&gt;0,N564*100/L564,0)</f>
        <v>8.9756842775302363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6"/>
      <c r="N565" s="170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7"/>
      <c r="N566" s="170">
        <f ca="1">IFERROR(__xludf.DUMMYFUNCTION("IMPORTRANGE(""https://docs.google.com/spreadsheets/d/1SX6NBoVAgQJ6U1MVXOaj8PK2l7WJ3RER9xtqwdhxkhw/edit?usp=sharing"",""พระนครศรีอยุธยา!M461"")"),11280.64)</f>
        <v>11280.64</v>
      </c>
      <c r="O566" s="170">
        <f t="shared" ca="1" si="122"/>
        <v>8.9756842775302363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70"/>
      <c r="N567" s="170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70"/>
      <c r="N568" s="170">
        <f ca="1">IFERROR(__xludf.DUMMYFUNCTION("IMPORTRANGE(""https://docs.google.com/spreadsheets/d/1SX6NBoVAgQJ6U1MVXOaj8PK2l7WJ3RER9xtqwdhxkhw/edit?usp=sharing"",""พระนครศรีอยุธยา!M463"")"),11280.64)</f>
        <v>11280.64</v>
      </c>
      <c r="O568" s="170">
        <f t="shared" ca="1" si="122"/>
        <v>8.9756842775302363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IFERROR(__xludf.DUMMYFUNCTION("IMPORTRANGE(""https://docs.google.com/spreadsheets/d/1SX6NBoVAgQJ6U1MVXOaj8PK2l7WJ3RER9xtqwdhxkhw/edit?usp=sharing"",""พระนครศรีอยุธยา!M466"")"),0)</f>
        <v>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IFERROR(__xludf.DUMMYFUNCTION("IMPORTRANGE(""https://docs.google.com/spreadsheets/d/1SX6NBoVAgQJ6U1MVXOaj8PK2l7WJ3RER9xtqwdhxkhw/edit?usp=sharing"",""พระนครศรีอยุธยา!M467"")"),11280.64)</f>
        <v>11280.64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IFERROR(__xludf.DUMMYFUNCTION("IMPORTRANGE(""https://docs.google.com/spreadsheets/d/1SX6NBoVAgQJ6U1MVXOaj8PK2l7WJ3RER9xtqwdhxkhw/edit?usp=sharing"",""พระนครศรีอยุธยา!J468"")"),195)</f>
        <v>195</v>
      </c>
      <c r="K573" s="203">
        <f ca="1">IF(I573&gt;0,J573*100/I573,0)</f>
        <v>130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9">
        <f ca="1">IFERROR(__xludf.DUMMYFUNCTION("IMPORTRANGE(""https://docs.google.com/spreadsheets/d/1SX6NBoVAgQJ6U1MVXOaj8PK2l7WJ3RER9xtqwdhxkhw/edit?usp=sharing"",""พระนครศรีอยุธยา!J470"")"),1)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9">
        <f ca="1">IFERROR(__xludf.DUMMYFUNCTION("IMPORTRANGE(""https://docs.google.com/spreadsheets/d/1SX6NBoVAgQJ6U1MVXOaj8PK2l7WJ3RER9xtqwdhxkhw/edit?usp=sharing"",""พระนครศรีอยุธยา!J471"")"),22)</f>
        <v>22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90">
        <f ca="1">IFERROR(__xludf.DUMMYFUNCTION("IMPORTRANGE(""https://docs.google.com/spreadsheets/d/1SX6NBoVAgQJ6U1MVXOaj8PK2l7WJ3RER9xtqwdhxkhw/edit?usp=sharing"",""พระนครศรีอยุธยา!J472"")"),173)</f>
        <v>173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9">
        <f ca="1">IFERROR(__xludf.DUMMYFUNCTION("IMPORTRANGE(""https://docs.google.com/spreadsheets/d/1SX6NBoVAgQJ6U1MVXOaj8PK2l7WJ3RER9xtqwdhxkhw/edit?usp=sharing"",""พระนครศรีอยุธยา!J473"")"),0)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9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6"/>
      <c r="N581" s="170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7"/>
      <c r="N582" s="170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70"/>
      <c r="N583" s="170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70"/>
      <c r="N584" s="170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9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9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9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9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9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9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9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7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6"/>
      <c r="N598" s="170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7"/>
      <c r="N599" s="170">
        <f ca="1">IFERROR(__xludf.DUMMYFUNCTION("IMPORTRANGE(""https://docs.google.com/spreadsheets/d/1SX6NBoVAgQJ6U1MVXOaj8PK2l7WJ3RER9xtqwdhxkhw/edit?usp=sharing"",""พระนครศรีอยุธยา!M494"")"),0)</f>
        <v>0</v>
      </c>
      <c r="O599" s="170">
        <f t="shared" ca="1" si="126"/>
        <v>0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70"/>
      <c r="N600" s="170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70"/>
      <c r="N601" s="170">
        <f ca="1">IFERROR(__xludf.DUMMYFUNCTION("IMPORTRANGE(""https://docs.google.com/spreadsheets/d/1SX6NBoVAgQJ6U1MVXOaj8PK2l7WJ3RER9xtqwdhxkhw/edit?usp=sharing"",""พระนครศรีอยุธยา!M496"")"),0)</f>
        <v>0</v>
      </c>
      <c r="O601" s="170">
        <f t="shared" ca="1" si="126"/>
        <v>0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IFERROR(__xludf.DUMMYFUNCTION("IMPORTRANGE(""https://docs.google.com/spreadsheets/d/1SX6NBoVAgQJ6U1MVXOaj8PK2l7WJ3RER9xtqwdhxkhw/edit?usp=sharing"",""พระนครศรีอยุธยา!M500"")"),0)</f>
        <v>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IFERROR(__xludf.DUMMYFUNCTION("IMPORTRANGE(""https://docs.google.com/spreadsheets/d/1SX6NBoVAgQJ6U1MVXOaj8PK2l7WJ3RER9xtqwdhxkhw/edit?usp=sharing"",""พระนครศรีอยุธยา!J502"")"),1)</f>
        <v>1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IFERROR(__xludf.DUMMYFUNCTION("IMPORTRANGE(""https://docs.google.com/spreadsheets/d/1SX6NBoVAgQJ6U1MVXOaj8PK2l7WJ3RER9xtqwdhxkhw/edit?usp=sharing"",""พระนครศรีอยุธยา!J503"")"),0)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4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9">
        <f ca="1">IFERROR(__xludf.DUMMYFUNCTION("IMPORTRANGE(""https://docs.google.com/spreadsheets/d/1SX6NBoVAgQJ6U1MVXOaj8PK2l7WJ3RER9xtqwdhxkhw/edit?usp=sharing"",""พระนครศรีอยุธยา!J507"")"),0)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9">
        <f ca="1">IFERROR(__xludf.DUMMYFUNCTION("IMPORTRANGE(""https://docs.google.com/spreadsheets/d/1SX6NBoVAgQJ6U1MVXOaj8PK2l7WJ3RER9xtqwdhxkhw/edit?usp=sharing"",""พระนครศรีอยุธยา!J508"")"),0)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9">
        <f ca="1">IFERROR(__xludf.DUMMYFUNCTION("IMPORTRANGE(""https://docs.google.com/spreadsheets/d/1SX6NBoVAgQJ6U1MVXOaj8PK2l7WJ3RER9xtqwdhxkhw/edit?usp=sharing"",""พระนครศรีอยุธยา!J509"")"),0)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9">
        <f ca="1">IFERROR(__xludf.DUMMYFUNCTION("IMPORTRANGE(""https://docs.google.com/spreadsheets/d/1SX6NBoVAgQJ6U1MVXOaj8PK2l7WJ3RER9xtqwdhxkhw/edit?usp=sharing"",""พระนครศรีอยุธยา!J510"")"),0)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9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9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90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90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4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4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90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90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9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90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90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1">
        <f ca="1">IFERROR(__xludf.DUMMYFUNCTION("IMPORTRANGE(""https://docs.google.com/spreadsheets/d/1SX6NBoVAgQJ6U1MVXOaj8PK2l7WJ3RER9xtqwdhxkhw/edit?usp=sharing"",""พระนครศรีอยุธยา!J523"")"),0)</f>
        <v>0</v>
      </c>
      <c r="K628" s="342">
        <f t="shared" ref="K628:K635" ca="1" si="129">IF(I628&gt;0,J628*100/I628,0)</f>
        <v>0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1">
        <f ca="1">IFERROR(__xludf.DUMMYFUNCTION("IMPORTRANGE(""https://docs.google.com/spreadsheets/d/1SX6NBoVAgQJ6U1MVXOaj8PK2l7WJ3RER9xtqwdhxkhw/edit?usp=sharing"",""พระนครศรีอยุธยา!J524"")"),0)</f>
        <v>0</v>
      </c>
      <c r="K629" s="342">
        <f t="shared" ca="1" si="129"/>
        <v>0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1">
        <f ca="1">IFERROR(__xludf.DUMMYFUNCTION("IMPORTRANGE(""https://docs.google.com/spreadsheets/d/1SX6NBoVAgQJ6U1MVXOaj8PK2l7WJ3RER9xtqwdhxkhw/edit?usp=sharing"",""พระนครศรีอยุธยา!J525"")"),1016705.36)</f>
        <v>1016705.36</v>
      </c>
      <c r="K630" s="342">
        <f t="shared" ca="1" si="129"/>
        <v>11.477318902053424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1">
        <f ca="1">IFERROR(__xludf.DUMMYFUNCTION("IMPORTRANGE(""https://docs.google.com/spreadsheets/d/1SX6NBoVAgQJ6U1MVXOaj8PK2l7WJ3RER9xtqwdhxkhw/edit?usp=sharing"",""พระนครศรีอยุธยา!J526"")"),110)</f>
        <v>110</v>
      </c>
      <c r="K631" s="342">
        <f t="shared" ca="1" si="129"/>
        <v>41.353383458646618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1">
        <f ca="1">IFERROR(__xludf.DUMMYFUNCTION("IMPORTRANGE(""https://docs.google.com/spreadsheets/d/1SX6NBoVAgQJ6U1MVXOaj8PK2l7WJ3RER9xtqwdhxkhw/edit?usp=sharing"",""พระนครศรีอยุธยา!J527"")"),151345.19)</f>
        <v>151345.19</v>
      </c>
      <c r="K632" s="342">
        <f t="shared" ca="1" si="129"/>
        <v>9.9568080531196639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1">
        <f ca="1">IFERROR(__xludf.DUMMYFUNCTION("IMPORTRANGE(""https://docs.google.com/spreadsheets/d/1SX6NBoVAgQJ6U1MVXOaj8PK2l7WJ3RER9xtqwdhxkhw/edit?usp=sharing"",""พระนครศรีอยุธยา!J528"")"),99)</f>
        <v>99</v>
      </c>
      <c r="K633" s="342">
        <f t="shared" ca="1" si="129"/>
        <v>6.671159029649596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IFERROR(__xludf.DUMMYFUNCTION("IMPORTRANGE(""https://docs.google.com/spreadsheets/d/1SX6NBoVAgQJ6U1MVXOaj8PK2l7WJ3RER9xtqwdhxkhw/edit?usp=sharing"",""พระนครศรีอยุธยา!I529"")"),1500000)</f>
        <v>1500000</v>
      </c>
      <c r="J634" s="341">
        <f ca="1">IFERROR(__xludf.DUMMYFUNCTION("IMPORTRANGE(""https://docs.google.com/spreadsheets/d/1SX6NBoVAgQJ6U1MVXOaj8PK2l7WJ3RER9xtqwdhxkhw/edit?usp=sharing"",""พระนครศรีอยุธยา!J529"")"),0)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4">
        <f ca="1">IFERROR(__xludf.DUMMYFUNCTION("IMPORTRANGE(""https://docs.google.com/spreadsheets/d/1SX6NBoVAgQJ6U1MVXOaj8PK2l7WJ3RER9xtqwdhxkhw/edit?usp=sharing"",""พระนครศรีอยุธยา!J530"")"),0)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4.140625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262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2842702</v>
      </c>
      <c r="M8" s="23">
        <f t="shared" ca="1" si="0"/>
        <v>1130083</v>
      </c>
      <c r="N8" s="23">
        <f t="shared" ca="1" si="0"/>
        <v>1284138</v>
      </c>
      <c r="O8" s="22">
        <f t="shared" ref="O8:O16" ca="1" si="1">IF(L8&gt;0,N8*100/L8,0)</f>
        <v>45.173148645197422</v>
      </c>
      <c r="P8" s="22">
        <f t="shared" ref="P8:P16" ca="1" si="2">IF(M8&gt;0,N8*100/M8,0)</f>
        <v>113.63218453865778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2842702</v>
      </c>
      <c r="M10" s="30">
        <f t="shared" ca="1" si="4"/>
        <v>1130083</v>
      </c>
      <c r="N10" s="30">
        <f t="shared" ca="1" si="4"/>
        <v>1284138</v>
      </c>
      <c r="O10" s="29">
        <f t="shared" ca="1" si="1"/>
        <v>45.173148645197422</v>
      </c>
      <c r="P10" s="29">
        <f t="shared" ca="1" si="2"/>
        <v>113.63218453865778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2664702</v>
      </c>
      <c r="M12" s="38">
        <f t="shared" ca="1" si="6"/>
        <v>952083</v>
      </c>
      <c r="N12" s="38">
        <f t="shared" ca="1" si="6"/>
        <v>1106138</v>
      </c>
      <c r="O12" s="38">
        <f t="shared" ca="1" si="1"/>
        <v>41.51075805099407</v>
      </c>
      <c r="P12" s="38">
        <f t="shared" ca="1" si="2"/>
        <v>116.18083717491017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1116802</v>
      </c>
      <c r="M14" s="38">
        <f t="shared" si="8"/>
        <v>0</v>
      </c>
      <c r="N14" s="38">
        <f t="shared" ca="1" si="8"/>
        <v>239770</v>
      </c>
      <c r="O14" s="38">
        <f t="shared" ca="1" si="1"/>
        <v>21.46933834287546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178000</v>
      </c>
      <c r="M16" s="38">
        <f t="shared" ca="1" si="10"/>
        <v>178000</v>
      </c>
      <c r="N16" s="38">
        <f t="shared" ca="1" si="10"/>
        <v>178000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2005105</v>
      </c>
      <c r="M18" s="23">
        <f t="shared" ca="1" si="11"/>
        <v>1130083</v>
      </c>
      <c r="N18" s="23">
        <f t="shared" ca="1" si="11"/>
        <v>1044368</v>
      </c>
      <c r="O18" s="22">
        <f t="shared" ref="O18:O20" ca="1" si="12">IF(L18&gt;0,N18*100/L18,0)</f>
        <v>52.085451884065918</v>
      </c>
      <c r="P18" s="22">
        <f t="shared" ref="P18:P26" ca="1" si="13">IF(M18&gt;0,N18*100/M18,0)</f>
        <v>92.415158886559666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2005105</v>
      </c>
      <c r="M20" s="30">
        <f t="shared" ca="1" si="15"/>
        <v>1130083</v>
      </c>
      <c r="N20" s="30">
        <f t="shared" ca="1" si="15"/>
        <v>1044368</v>
      </c>
      <c r="O20" s="29">
        <f t="shared" ca="1" si="12"/>
        <v>52.085451884065918</v>
      </c>
      <c r="P20" s="29">
        <f t="shared" ca="1" si="13"/>
        <v>92.415158886559666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1827105</v>
      </c>
      <c r="M22" s="41">
        <f t="shared" ca="1" si="18"/>
        <v>952083</v>
      </c>
      <c r="N22" s="38">
        <f t="shared" ca="1" si="18"/>
        <v>866368</v>
      </c>
      <c r="O22" s="38">
        <f t="shared" ca="1" si="17"/>
        <v>47.417526633663634</v>
      </c>
      <c r="P22" s="38">
        <f t="shared" ca="1" si="13"/>
        <v>90.997108445377137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279205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178000</v>
      </c>
      <c r="M26" s="49">
        <f t="shared" ca="1" si="22"/>
        <v>178000</v>
      </c>
      <c r="N26" s="49">
        <f t="shared" ca="1" si="22"/>
        <v>178000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837597</v>
      </c>
      <c r="M28" s="23">
        <f t="shared" si="23"/>
        <v>0</v>
      </c>
      <c r="N28" s="23">
        <f t="shared" ca="1" si="23"/>
        <v>239770</v>
      </c>
      <c r="O28" s="22">
        <f t="shared" ref="O28:O30" ca="1" si="24">IF(L28&gt;0,N28*100/L28,0)</f>
        <v>28.625938249540052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837597</v>
      </c>
      <c r="M30" s="30">
        <f t="shared" si="27"/>
        <v>0</v>
      </c>
      <c r="N30" s="30">
        <f t="shared" ca="1" si="27"/>
        <v>239770</v>
      </c>
      <c r="O30" s="29">
        <f t="shared" ca="1" si="24"/>
        <v>28.625938249540052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837597</v>
      </c>
      <c r="M32" s="38">
        <f t="shared" si="30"/>
        <v>0</v>
      </c>
      <c r="N32" s="38">
        <f t="shared" ca="1" si="30"/>
        <v>239770</v>
      </c>
      <c r="O32" s="38">
        <f t="shared" ca="1" si="29"/>
        <v>28.625938249540052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837597</v>
      </c>
      <c r="M34" s="38">
        <f t="shared" si="32"/>
        <v>0</v>
      </c>
      <c r="N34" s="38">
        <f t="shared" ca="1" si="32"/>
        <v>239770</v>
      </c>
      <c r="O34" s="38">
        <f t="shared" ca="1" si="29"/>
        <v>28.625938249540052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2005105</v>
      </c>
      <c r="M37" s="54">
        <f t="shared" ca="1" si="33"/>
        <v>1130083</v>
      </c>
      <c r="N37" s="54">
        <f t="shared" ca="1" si="33"/>
        <v>1044368</v>
      </c>
      <c r="O37" s="55">
        <f t="shared" ca="1" si="29"/>
        <v>52.085451884065918</v>
      </c>
      <c r="P37" s="55">
        <f t="shared" ca="1" si="25"/>
        <v>92.415158886559666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862100</v>
      </c>
      <c r="M41" s="78">
        <f t="shared" ca="1" si="34"/>
        <v>520100</v>
      </c>
      <c r="N41" s="78">
        <f t="shared" ca="1" si="34"/>
        <v>496215</v>
      </c>
      <c r="O41" s="77">
        <f t="shared" ref="O41:O43" ca="1" si="35">IF(L41&gt;0,N41*100/L41,0)</f>
        <v>57.558867880756296</v>
      </c>
      <c r="P41" s="77">
        <f t="shared" ref="P41:P43" ca="1" si="36">IF(M41&gt;0,N41*100/M41,0)</f>
        <v>95.407613920399925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862100</v>
      </c>
      <c r="M43" s="78">
        <f t="shared" ca="1" si="38"/>
        <v>520100</v>
      </c>
      <c r="N43" s="78">
        <f t="shared" ca="1" si="38"/>
        <v>496215</v>
      </c>
      <c r="O43" s="77">
        <f t="shared" ca="1" si="35"/>
        <v>57.558867880756296</v>
      </c>
      <c r="P43" s="77">
        <f t="shared" ca="1" si="36"/>
        <v>95.407613920399925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IFERROR(__xludf.DUMMYFUNCTION("IMPORTRANGE(""https://docs.google.com/spreadsheets/d/1Yj_ptqi66GCucihVvJfMjLAmec39IyEx_6qawtMGysU/edit?usp=sharing"",""สบก!Q71"")"),342100)</f>
        <v>342100</v>
      </c>
      <c r="N45" s="49">
        <f ca="1">IFERROR(__xludf.DUMMYFUNCTION("IMPORTRANGE(""https://docs.google.com/spreadsheets/d/1Yj_ptqi66GCucihVvJfMjLAmec39IyEx_6qawtMGysU/edit?usp=sharing"",""สบก!R71"")"),318215)</f>
        <v>318215</v>
      </c>
      <c r="O45" s="38">
        <f ca="1">IF(L45&gt;0,N45*100/L45,0)</f>
        <v>46.51586025434878</v>
      </c>
      <c r="P45" s="38">
        <f ca="1">IF(M45&gt;0,N45*100/M45,0)</f>
        <v>93.018123355743938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IFERROR(__xludf.DUMMYFUNCTION("IMPORTRANGE(""https://docs.google.com/spreadsheets/d/1Yj_ptqi66GCucihVvJfMjLAmec39IyEx_6qawtMGysU/edit?usp=sharing"",""สบก!O71"")"),178000)</f>
        <v>178000</v>
      </c>
      <c r="M49" s="49">
        <f ca="1">L49</f>
        <v>178000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194988</v>
      </c>
      <c r="N53" s="121">
        <f t="shared" ca="1" si="39"/>
        <v>142525</v>
      </c>
      <c r="O53" s="120">
        <f t="shared" ref="O53:O55" ca="1" si="40">IF(L53&gt;0,N53*100/L53,0)</f>
        <v>38.520270270270274</v>
      </c>
      <c r="P53" s="120">
        <f t="shared" ref="P53:P55" ca="1" si="41">IF(M53&gt;0,N53*100/M53,0)</f>
        <v>73.094241696924939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194988</v>
      </c>
      <c r="N55" s="121">
        <f t="shared" ca="1" si="43"/>
        <v>142525</v>
      </c>
      <c r="O55" s="120">
        <f t="shared" ca="1" si="40"/>
        <v>38.520270270270274</v>
      </c>
      <c r="P55" s="120">
        <f t="shared" ca="1" si="41"/>
        <v>73.094241696924939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IFERROR(__xludf.DUMMYFUNCTION("IMPORTRANGE(""https://docs.google.com/spreadsheets/d/1Yj_ptqi66GCucihVvJfMjLAmec39IyEx_6qawtMGysU/edit?usp=sharing"",""สบก!Z71"")"),194988)</f>
        <v>194988</v>
      </c>
      <c r="N57" s="49">
        <f ca="1">IFERROR(__xludf.DUMMYFUNCTION("IMPORTRANGE(""https://docs.google.com/spreadsheets/d/1Yj_ptqi66GCucihVvJfMjLAmec39IyEx_6qawtMGysU/edit?usp=sharing"",""สบก!AA71"")"),142525)</f>
        <v>142525</v>
      </c>
      <c r="O57" s="38">
        <f ca="1">IF(L57&gt;0,N57*100/L57,0)</f>
        <v>38.520270270270274</v>
      </c>
      <c r="P57" s="38">
        <f ca="1">IF(M57&gt;0,N57*100/M57,0)</f>
        <v>73.094241696924939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IFERROR(__xludf.DUMMYFUNCTION("IMPORTRANGE(""https://docs.google.com/spreadsheets/d/1Yj_ptqi66GCucihVvJfMjLAmec39IyEx_6qawtMGysU/edit?usp=sharing"",""สบก!AI71"")"),0)</f>
        <v>0</v>
      </c>
      <c r="N70" s="170">
        <f ca="1">IFERROR(__xludf.DUMMYFUNCTION("IMPORTRANGE(""https://docs.google.com/spreadsheets/d/1Yj_ptqi66GCucihVvJfMjLAmec39IyEx_6qawtMGysU/edit?usp=sharing"",""สบก!AJ71"")"),0)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IFERROR(__xludf.DUMMYFUNCTION("IMPORTRANGE(""https://docs.google.com/spreadsheets/d/1Yj_ptqi66GCucihVvJfMjLAmec39IyEx_6qawtMGysU/edit?usp=sharing"",""สบก!AE71"")"),0)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IFERROR(__xludf.DUMMYFUNCTION("IMPORTRANGE(""https://docs.google.com/spreadsheets/d/1Yj_ptqi66GCucihVvJfMjLAmec39IyEx_6qawtMGysU/edit?usp=sharing"",""สบก!AF71"")"),0)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IFERROR(__xludf.DUMMYFUNCTION("IMPORTRANGE(""https://docs.google.com/spreadsheets/d/1SX6NBoVAgQJ6U1MVXOaj8PK2l7WJ3RER9xtqwdhxkhw/edit?usp=sharing"",""เพชรบุรี!J16"")"),0)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IFERROR(__xludf.DUMMYFUNCTION("IMPORTRANGE(""https://docs.google.com/spreadsheets/d/1SX6NBoVAgQJ6U1MVXOaj8PK2l7WJ3RER9xtqwdhxkhw/edit?usp=sharing"",""เพชรบุรี!J17"")"),0)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IFERROR(__xludf.DUMMYFUNCTION("IMPORTRANGE(""https://docs.google.com/spreadsheets/d/1SX6NBoVAgQJ6U1MVXOaj8PK2l7WJ3RER9xtqwdhxkhw/edit?usp=sharing"",""เพชรบุรี!J18"")"),0)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IFERROR(__xludf.DUMMYFUNCTION("IMPORTRANGE(""https://docs.google.com/spreadsheets/d/1SX6NBoVAgQJ6U1MVXOaj8PK2l7WJ3RER9xtqwdhxkhw/edit?usp=sharing"",""เพชรบุรี!J19"")"),0)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IFERROR(__xludf.DUMMYFUNCTION("IMPORTRANGE(""https://docs.google.com/spreadsheets/d/1SX6NBoVAgQJ6U1MVXOaj8PK2l7WJ3RER9xtqwdhxkhw/edit?usp=sharing"",""เพชรบุรี!I20"")"),0)</f>
        <v>0</v>
      </c>
      <c r="J80" s="202">
        <f ca="1">IFERROR(__xludf.DUMMYFUNCTION("IMPORTRANGE(""https://docs.google.com/spreadsheets/d/1SX6NBoVAgQJ6U1MVXOaj8PK2l7WJ3RER9xtqwdhxkhw/edit?usp=sharing"",""เพชรบุรี!J20"")"),0)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IFERROR(__xludf.DUMMYFUNCTION("IMPORTRANGE(""https://docs.google.com/spreadsheets/d/1SX6NBoVAgQJ6U1MVXOaj8PK2l7WJ3RER9xtqwdhxkhw/edit?usp=sharing"",""เพชรบุรี!I21"")"),0)</f>
        <v>0</v>
      </c>
      <c r="J81" s="202">
        <f ca="1">IFERROR(__xludf.DUMMYFUNCTION("IMPORTRANGE(""https://docs.google.com/spreadsheets/d/1SX6NBoVAgQJ6U1MVXOaj8PK2l7WJ3RER9xtqwdhxkhw/edit?usp=sharing"",""เพชรบุรี!J21"")"),0)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IFERROR(__xludf.DUMMYFUNCTION("IMPORTRANGE(""https://docs.google.com/spreadsheets/d/1SX6NBoVAgQJ6U1MVXOaj8PK2l7WJ3RER9xtqwdhxkhw/edit?usp=sharing"",""เพชรบุรี!I22"")"),0)</f>
        <v>0</v>
      </c>
      <c r="J82" s="205">
        <f ca="1">IFERROR(__xludf.DUMMYFUNCTION("IMPORTRANGE(""https://docs.google.com/spreadsheets/d/1SX6NBoVAgQJ6U1MVXOaj8PK2l7WJ3RER9xtqwdhxkhw/edit?usp=sharing"",""เพชรบุรี!J22"")"),0)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IFERROR(__xludf.DUMMYFUNCTION("IMPORTRANGE(""https://docs.google.com/spreadsheets/d/1SX6NBoVAgQJ6U1MVXOaj8PK2l7WJ3RER9xtqwdhxkhw/edit?usp=sharing"",""เพชรบุรี!I23"")"),0)</f>
        <v>0</v>
      </c>
      <c r="J83" s="205">
        <f ca="1">IFERROR(__xludf.DUMMYFUNCTION("IMPORTRANGE(""https://docs.google.com/spreadsheets/d/1SX6NBoVAgQJ6U1MVXOaj8PK2l7WJ3RER9xtqwdhxkhw/edit?usp=sharing"",""เพชรบุรี!J23"")"),0)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IFERROR(__xludf.DUMMYFUNCTION("IMPORTRANGE(""https://docs.google.com/spreadsheets/d/1SX6NBoVAgQJ6U1MVXOaj8PK2l7WJ3RER9xtqwdhxkhw/edit?usp=sharing"",""เพชรบุรี!I24"")"),0)</f>
        <v>0</v>
      </c>
      <c r="J84" s="190">
        <f ca="1">IFERROR(__xludf.DUMMYFUNCTION("IMPORTRANGE(""https://docs.google.com/spreadsheets/d/1SX6NBoVAgQJ6U1MVXOaj8PK2l7WJ3RER9xtqwdhxkhw/edit?usp=sharing"",""เพชรบุรี!J24"")"),0)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IFERROR(__xludf.DUMMYFUNCTION("IMPORTRANGE(""https://docs.google.com/spreadsheets/d/1SX6NBoVAgQJ6U1MVXOaj8PK2l7WJ3RER9xtqwdhxkhw/edit?usp=sharing"",""เพชรบุรี!I25"")"),0)</f>
        <v>0</v>
      </c>
      <c r="J85" s="190">
        <f ca="1">IFERROR(__xludf.DUMMYFUNCTION("IMPORTRANGE(""https://docs.google.com/spreadsheets/d/1SX6NBoVAgQJ6U1MVXOaj8PK2l7WJ3RER9xtqwdhxkhw/edit?usp=sharing"",""เพชรบุรี!J25"")"),0)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IFERROR(__xludf.DUMMYFUNCTION("IMPORTRANGE(""https://docs.google.com/spreadsheets/d/1SX6NBoVAgQJ6U1MVXOaj8PK2l7WJ3RER9xtqwdhxkhw/edit?usp=sharing"",""เพชรบุรี!I26"")"),0)</f>
        <v>0</v>
      </c>
      <c r="J86" s="205">
        <f ca="1">IFERROR(__xludf.DUMMYFUNCTION("IMPORTRANGE(""https://docs.google.com/spreadsheets/d/1SX6NBoVAgQJ6U1MVXOaj8PK2l7WJ3RER9xtqwdhxkhw/edit?usp=sharing"",""เพชรบุรี!J26"")"),0)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IFERROR(__xludf.DUMMYFUNCTION("IMPORTRANGE(""https://docs.google.com/spreadsheets/d/1SX6NBoVAgQJ6U1MVXOaj8PK2l7WJ3RER9xtqwdhxkhw/edit?usp=sharing"",""เพชรบุรี!I27"")"),0)</f>
        <v>0</v>
      </c>
      <c r="J87" s="205">
        <f ca="1">IFERROR(__xludf.DUMMYFUNCTION("IMPORTRANGE(""https://docs.google.com/spreadsheets/d/1SX6NBoVAgQJ6U1MVXOaj8PK2l7WJ3RER9xtqwdhxkhw/edit?usp=sharing"",""เพชรบุรี!J27"")"),0)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IFERROR(__xludf.DUMMYFUNCTION("IMPORTRANGE(""https://docs.google.com/spreadsheets/d/1SX6NBoVAgQJ6U1MVXOaj8PK2l7WJ3RER9xtqwdhxkhw/edit?usp=sharing"",""เพชรบุรี!I28"")"),0)</f>
        <v>0</v>
      </c>
      <c r="J88" s="205">
        <f ca="1">IFERROR(__xludf.DUMMYFUNCTION("IMPORTRANGE(""https://docs.google.com/spreadsheets/d/1SX6NBoVAgQJ6U1MVXOaj8PK2l7WJ3RER9xtqwdhxkhw/edit?usp=sharing"",""เพชรบุรี!J28"")"),0)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IFERROR(__xludf.DUMMYFUNCTION("IMPORTRANGE(""https://docs.google.com/spreadsheets/d/1SX6NBoVAgQJ6U1MVXOaj8PK2l7WJ3RER9xtqwdhxkhw/edit?usp=sharing"",""เพชรบุรี!J29"")"),0)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IFERROR(__xludf.DUMMYFUNCTION("IMPORTRANGE(""https://docs.google.com/spreadsheets/d/1Yj_ptqi66GCucihVvJfMjLAmec39IyEx_6qawtMGysU/edit?usp=sharing"",""สบก!AR71"")"),0)</f>
        <v>0</v>
      </c>
      <c r="N98" s="170">
        <f ca="1">IFERROR(__xludf.DUMMYFUNCTION("IMPORTRANGE(""https://docs.google.com/spreadsheets/d/1Yj_ptqi66GCucihVvJfMjLAmec39IyEx_6qawtMGysU/edit?usp=sharing"",""สบก!AS71"")"),0)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IFERROR(__xludf.DUMMYFUNCTION("IMPORTRANGE(""https://docs.google.com/spreadsheets/d/1Yj_ptqi66GCucihVvJfMjLAmec39IyEx_6qawtMGysU/edit?usp=sharing"",""สบก!AN71"")"),0)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IFERROR(__xludf.DUMMYFUNCTION("IMPORTRANGE(""https://docs.google.com/spreadsheets/d/1Yj_ptqi66GCucihVvJfMjLAmec39IyEx_6qawtMGysU/edit?usp=sharing"",""สบก!AO71"")"),0)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IFERROR(__xludf.DUMMYFUNCTION("IMPORTRANGE(""https://docs.google.com/spreadsheets/d/1SX6NBoVAgQJ6U1MVXOaj8PK2l7WJ3RER9xtqwdhxkhw/edit?usp=sharing"",""เพชรบุรี!I43"")"),0)</f>
        <v>0</v>
      </c>
      <c r="J108" s="205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IFERROR(__xludf.DUMMYFUNCTION("IMPORTRANGE(""https://docs.google.com/spreadsheets/d/1SX6NBoVAgQJ6U1MVXOaj8PK2l7WJ3RER9xtqwdhxkhw/edit?usp=sharing"",""เพชรบุรี!I44"")"),0)</f>
        <v>0</v>
      </c>
      <c r="J109" s="205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IFERROR(__xludf.DUMMYFUNCTION("IMPORTRANGE(""https://docs.google.com/spreadsheets/d/1SX6NBoVAgQJ6U1MVXOaj8PK2l7WJ3RER9xtqwdhxkhw/edit?usp=sharing"",""เพชรบุรี!I45"")"),0)</f>
        <v>0</v>
      </c>
      <c r="J110" s="205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IFERROR(__xludf.DUMMYFUNCTION("IMPORTRANGE(""https://docs.google.com/spreadsheets/d/1SX6NBoVAgQJ6U1MVXOaj8PK2l7WJ3RER9xtqwdhxkhw/edit?usp=sharing"",""เพชรบุรี!I46"")"),0)</f>
        <v>0</v>
      </c>
      <c r="J111" s="205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IFERROR(__xludf.DUMMYFUNCTION("IMPORTRANGE(""https://docs.google.com/spreadsheets/d/1SX6NBoVAgQJ6U1MVXOaj8PK2l7WJ3RER9xtqwdhxkhw/edit?usp=sharing"",""เพชรบุรี!I47"")"),0)</f>
        <v>0</v>
      </c>
      <c r="J112" s="205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IFERROR(__xludf.DUMMYFUNCTION("IMPORTRANGE(""https://docs.google.com/spreadsheets/d/1SX6NBoVAgQJ6U1MVXOaj8PK2l7WJ3RER9xtqwdhxkhw/edit?usp=sharing"",""เพชรบุรี!I48"")"),0)</f>
        <v>0</v>
      </c>
      <c r="J113" s="205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IFERROR(__xludf.DUMMYFUNCTION("IMPORTRANGE(""https://docs.google.com/spreadsheets/d/1Yj_ptqi66GCucihVvJfMjLAmec39IyEx_6qawtMGysU/edit?usp=sharing"",""สบก!BA71"")"),0)</f>
        <v>0</v>
      </c>
      <c r="N122" s="170">
        <f ca="1">IFERROR(__xludf.DUMMYFUNCTION("IMPORTRANGE(""https://docs.google.com/spreadsheets/d/1Yj_ptqi66GCucihVvJfMjLAmec39IyEx_6qawtMGysU/edit?usp=sharing"",""สบก!BB71"")"),0)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IFERROR(__xludf.DUMMYFUNCTION("IMPORTRANGE(""https://docs.google.com/spreadsheets/d/1Yj_ptqi66GCucihVvJfMjLAmec39IyEx_6qawtMGysU/edit?usp=sharing"",""สบก!AW71"")"),0)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IFERROR(__xludf.DUMMYFUNCTION("IMPORTRANGE(""https://docs.google.com/spreadsheets/d/1Yj_ptqi66GCucihVvJfMjLAmec39IyEx_6qawtMGysU/edit?usp=sharing"",""สบก!AX71"")"),0)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263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IFERROR(__xludf.DUMMYFUNCTION("IMPORTRANGE(""https://docs.google.com/spreadsheets/d/1SX6NBoVAgQJ6U1MVXOaj8PK2l7WJ3RER9xtqwdhxkhw/edit?usp=sharing"",""เพชรบุรี!I62"")"),0)</f>
        <v>0</v>
      </c>
      <c r="J132" s="205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IFERROR(__xludf.DUMMYFUNCTION("IMPORTRANGE(""https://docs.google.com/spreadsheets/d/1SX6NBoVAgQJ6U1MVXOaj8PK2l7WJ3RER9xtqwdhxkhw/edit?usp=sharing"",""เพชรบุรี!I63"")"),0)</f>
        <v>0</v>
      </c>
      <c r="J133" s="205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50000</v>
      </c>
      <c r="M140" s="152">
        <f t="shared" ca="1" si="64"/>
        <v>39750</v>
      </c>
      <c r="N140" s="152">
        <f t="shared" ca="1" si="64"/>
        <v>33835</v>
      </c>
      <c r="O140" s="151">
        <f t="shared" ref="O140:O142" ca="1" si="65">IF(L140&gt;0,N140*100/L140,0)</f>
        <v>67.67</v>
      </c>
      <c r="P140" s="151">
        <f t="shared" ref="P140:P142" ca="1" si="66">IF(M140&gt;0,N140*100/M140,0)</f>
        <v>85.119496855345915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50000</v>
      </c>
      <c r="M142" s="157">
        <f t="shared" ca="1" si="68"/>
        <v>39750</v>
      </c>
      <c r="N142" s="157">
        <f t="shared" ca="1" si="68"/>
        <v>33835</v>
      </c>
      <c r="O142" s="156">
        <f t="shared" ca="1" si="65"/>
        <v>67.67</v>
      </c>
      <c r="P142" s="156">
        <f t="shared" ca="1" si="66"/>
        <v>85.119496855345915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50000</v>
      </c>
      <c r="M144" s="169">
        <f ca="1">IFERROR(__xludf.DUMMYFUNCTION("IMPORTRANGE(""https://docs.google.com/spreadsheets/d/1Yj_ptqi66GCucihVvJfMjLAmec39IyEx_6qawtMGysU/edit?usp=sharing"",""สบก!BJ71"")"),39750)</f>
        <v>39750</v>
      </c>
      <c r="N144" s="170">
        <f ca="1">IFERROR(__xludf.DUMMYFUNCTION("IMPORTRANGE(""https://docs.google.com/spreadsheets/d/1Yj_ptqi66GCucihVvJfMjLAmec39IyEx_6qawtMGysU/edit?usp=sharing"",""สบก!BK71"")"),33835)</f>
        <v>33835</v>
      </c>
      <c r="O144" s="170">
        <f ca="1">IF(L144&gt;0,N144*100/L144,0)</f>
        <v>67.67</v>
      </c>
      <c r="P144" s="170">
        <f ca="1">IF(M144&gt;0,N144*100/M144,0)</f>
        <v>85.119496855345915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IFERROR(__xludf.DUMMYFUNCTION("IMPORTRANGE(""https://docs.google.com/spreadsheets/d/1Yj_ptqi66GCucihVvJfMjLAmec39IyEx_6qawtMGysU/edit?usp=sharing"",""สบก!BF71"")"),0)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IFERROR(__xludf.DUMMYFUNCTION("IMPORTRANGE(""https://docs.google.com/spreadsheets/d/1Yj_ptqi66GCucihVvJfMjLAmec39IyEx_6qawtMGysU/edit?usp=sharing"",""สบก!BG71"")"),50000)</f>
        <v>50000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IFERROR(__xludf.DUMMYFUNCTION("IMPORTRANGE(""https://docs.google.com/spreadsheets/d/1SX6NBoVAgQJ6U1MVXOaj8PK2l7WJ3RER9xtqwdhxkhw/edit?usp=sharing"",""เพชรบุรี!J79"")"),0)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IFERROR(__xludf.DUMMYFUNCTION("IMPORTRANGE(""https://docs.google.com/spreadsheets/d/1SX6NBoVAgQJ6U1MVXOaj8PK2l7WJ3RER9xtqwdhxkhw/edit?usp=sharing"",""เพชรบุรี!J80"")"),1)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IFERROR(__xludf.DUMMYFUNCTION("IMPORTRANGE(""https://docs.google.com/spreadsheets/d/1SX6NBoVAgQJ6U1MVXOaj8PK2l7WJ3RER9xtqwdhxkhw/edit?usp=sharing"",""เพชรบุรี!J81"")"),1)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IFERROR(__xludf.DUMMYFUNCTION("IMPORTRANGE(""https://docs.google.com/spreadsheets/d/1SX6NBoVAgQJ6U1MVXOaj8PK2l7WJ3RER9xtqwdhxkhw/edit?usp=sharing"",""เพชรบุรี!J82"")"),1)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IFERROR(__xludf.DUMMYFUNCTION("IMPORTRANGE(""https://docs.google.com/spreadsheets/d/1SX6NBoVAgQJ6U1MVXOaj8PK2l7WJ3RER9xtqwdhxkhw/edit?usp=sharing"",""เพชรบุรี!I83"")"),4)</f>
        <v>4</v>
      </c>
      <c r="J158" s="190">
        <f ca="1">IFERROR(__xludf.DUMMYFUNCTION("IMPORTRANGE(""https://docs.google.com/spreadsheets/d/1SX6NBoVAgQJ6U1MVXOaj8PK2l7WJ3RER9xtqwdhxkhw/edit?usp=sharing"",""เพชรบุรี!J83"")"),2)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IFERROR(__xludf.DUMMYFUNCTION("IMPORTRANGE(""https://docs.google.com/spreadsheets/d/1SX6NBoVAgQJ6U1MVXOaj8PK2l7WJ3RER9xtqwdhxkhw/edit?usp=sharing"",""เพชรบุรี!J84"")"),77)</f>
        <v>77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IFERROR(__xludf.DUMMYFUNCTION("IMPORTRANGE(""https://docs.google.com/spreadsheets/d/1SX6NBoVAgQJ6U1MVXOaj8PK2l7WJ3RER9xtqwdhxkhw/edit?usp=sharing"",""เพชรบุรี!J85"")"),77)</f>
        <v>77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IFERROR(__xludf.DUMMYFUNCTION("IMPORTRANGE(""https://docs.google.com/spreadsheets/d/1SX6NBoVAgQJ6U1MVXOaj8PK2l7WJ3RER9xtqwdhxkhw/edit?usp=sharing"",""เพชรบุรี!J86"")"),0)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IFERROR(__xludf.DUMMYFUNCTION("IMPORTRANGE(""https://docs.google.com/spreadsheets/d/1SX6NBoVAgQJ6U1MVXOaj8PK2l7WJ3RER9xtqwdhxkhw/edit?usp=sharing"",""เพชรบุรี!J87"")"),0)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IFERROR(__xludf.DUMMYFUNCTION("IMPORTRANGE(""https://docs.google.com/spreadsheets/d/1SX6NBoVAgQJ6U1MVXOaj8PK2l7WJ3RER9xtqwdhxkhw/edit?usp=sharing"",""เพชรบุรี!J88"")"),0)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IFERROR(__xludf.DUMMYFUNCTION("IMPORTRANGE(""https://docs.google.com/spreadsheets/d/1SX6NBoVAgQJ6U1MVXOaj8PK2l7WJ3RER9xtqwdhxkhw/edit?usp=sharing"",""เพชรบุรี!I89"")"),2)</f>
        <v>2</v>
      </c>
      <c r="J164" s="284">
        <f ca="1">IFERROR(__xludf.DUMMYFUNCTION("IMPORTRANGE(""https://docs.google.com/spreadsheets/d/1SX6NBoVAgQJ6U1MVXOaj8PK2l7WJ3RER9xtqwdhxkhw/edit?usp=sharing"",""เพชรบุรี!J89"")"),2)</f>
        <v>2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IFERROR(__xludf.DUMMYFUNCTION("IMPORTRANGE(""https://docs.google.com/spreadsheets/d/1SX6NBoVAgQJ6U1MVXOaj8PK2l7WJ3RER9xtqwdhxkhw/edit?usp=sharing"",""เพชรบุรี!J94"")"),0)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IFERROR(__xludf.DUMMYFUNCTION("IMPORTRANGE(""https://docs.google.com/spreadsheets/d/1SX6NBoVAgQJ6U1MVXOaj8PK2l7WJ3RER9xtqwdhxkhw/edit?usp=sharing"",""เพชรบุรี!J95"")"),1)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IFERROR(__xludf.DUMMYFUNCTION("IMPORTRANGE(""https://docs.google.com/spreadsheets/d/1SX6NBoVAgQJ6U1MVXOaj8PK2l7WJ3RER9xtqwdhxkhw/edit?usp=sharing"",""เพชรบุรี!J96"")"),1)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IFERROR(__xludf.DUMMYFUNCTION("IMPORTRANGE(""https://docs.google.com/spreadsheets/d/1SX6NBoVAgQJ6U1MVXOaj8PK2l7WJ3RER9xtqwdhxkhw/edit?usp=sharing"",""เพชรบุรี!J97"")"),1)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IFERROR(__xludf.DUMMYFUNCTION("IMPORTRANGE(""https://docs.google.com/spreadsheets/d/1SX6NBoVAgQJ6U1MVXOaj8PK2l7WJ3RER9xtqwdhxkhw/edit?usp=sharing"",""เพชรบุรี!I98"")"),2)</f>
        <v>2</v>
      </c>
      <c r="J173" s="190">
        <f ca="1">IFERROR(__xludf.DUMMYFUNCTION("IMPORTRANGE(""https://docs.google.com/spreadsheets/d/1SX6NBoVAgQJ6U1MVXOaj8PK2l7WJ3RER9xtqwdhxkhw/edit?usp=sharing"",""เพชรบุรี!J98"")"),2)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IFERROR(__xludf.DUMMYFUNCTION("IMPORTRANGE(""https://docs.google.com/spreadsheets/d/1SX6NBoVAgQJ6U1MVXOaj8PK2l7WJ3RER9xtqwdhxkhw/edit?usp=sharing"",""เพชรบุรี!J99"")"),0)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IFERROR(__xludf.DUMMYFUNCTION("IMPORTRANGE(""https://docs.google.com/spreadsheets/d/1SX6NBoVAgQJ6U1MVXOaj8PK2l7WJ3RER9xtqwdhxkhw/edit?usp=sharing"",""เพชรบุรี!J100"")"),0)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IFERROR(__xludf.DUMMYFUNCTION("IMPORTRANGE(""https://docs.google.com/spreadsheets/d/1SX6NBoVAgQJ6U1MVXOaj8PK2l7WJ3RER9xtqwdhxkhw/edit?usp=sharing"",""เพชรบุรี!I101"")"),0)</f>
        <v>0</v>
      </c>
      <c r="J176" s="284">
        <f ca="1">IFERROR(__xludf.DUMMYFUNCTION("IMPORTRANGE(""https://docs.google.com/spreadsheets/d/1SX6NBoVAgQJ6U1MVXOaj8PK2l7WJ3RER9xtqwdhxkhw/edit?usp=sharing"",""เพชรบุรี!J101"")"),0)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IFERROR(__xludf.DUMMYFUNCTION("IMPORTRANGE(""https://docs.google.com/spreadsheets/d/1SX6NBoVAgQJ6U1MVXOaj8PK2l7WJ3RER9xtqwdhxkhw/edit?usp=sharing"",""เพชรบุรี!I110"")"),0)</f>
        <v>0</v>
      </c>
      <c r="J185" s="205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IFERROR(__xludf.DUMMYFUNCTION("IMPORTRANGE(""https://docs.google.com/spreadsheets/d/1SX6NBoVAgQJ6U1MVXOaj8PK2l7WJ3RER9xtqwdhxkhw/edit?usp=sharing"",""เพชรบุรี!I111"")"),0)</f>
        <v>0</v>
      </c>
      <c r="J186" s="205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IFERROR(__xludf.DUMMYFUNCTION("IMPORTRANGE(""https://docs.google.com/spreadsheets/d/1SX6NBoVAgQJ6U1MVXOaj8PK2l7WJ3RER9xtqwdhxkhw/edit?usp=sharing"",""เพชรบุรี!I114"")"),30000)</f>
        <v>30000</v>
      </c>
      <c r="J189" s="284">
        <f ca="1">IFERROR(__xludf.DUMMYFUNCTION("IMPORTRANGE(""https://docs.google.com/spreadsheets/d/1SX6NBoVAgQJ6U1MVXOaj8PK2l7WJ3RER9xtqwdhxkhw/edit?usp=sharing"",""เพชรบุรี!J114"")"),0)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IFERROR(__xludf.DUMMYFUNCTION("IMPORTRANGE(""https://docs.google.com/spreadsheets/d/1SX6NBoVAgQJ6U1MVXOaj8PK2l7WJ3RER9xtqwdhxkhw/edit?usp=sharing"",""เพชรบุรี!J119"")"),0)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IFERROR(__xludf.DUMMYFUNCTION("IMPORTRANGE(""https://docs.google.com/spreadsheets/d/1SX6NBoVAgQJ6U1MVXOaj8PK2l7WJ3RER9xtqwdhxkhw/edit?usp=sharing"",""เพชรบุรี!J120"")"),1)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IFERROR(__xludf.DUMMYFUNCTION("IMPORTRANGE(""https://docs.google.com/spreadsheets/d/1SX6NBoVAgQJ6U1MVXOaj8PK2l7WJ3RER9xtqwdhxkhw/edit?usp=sharing"",""เพชรบุรี!J121"")"),0)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IFERROR(__xludf.DUMMYFUNCTION("IMPORTRANGE(""https://docs.google.com/spreadsheets/d/1SX6NBoVAgQJ6U1MVXOaj8PK2l7WJ3RER9xtqwdhxkhw/edit?usp=sharing"",""เพชรบุรี!J122"")"),0)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IFERROR(__xludf.DUMMYFUNCTION("IMPORTRANGE(""https://docs.google.com/spreadsheets/d/1SX6NBoVAgQJ6U1MVXOaj8PK2l7WJ3RER9xtqwdhxkhw/edit?usp=sharing"",""เพชรบุรี!I124"")"),30000)</f>
        <v>30000</v>
      </c>
      <c r="J199" s="190">
        <f ca="1">IFERROR(__xludf.DUMMYFUNCTION("IMPORTRANGE(""https://docs.google.com/spreadsheets/d/1SX6NBoVAgQJ6U1MVXOaj8PK2l7WJ3RER9xtqwdhxkhw/edit?usp=sharing"",""เพชรบุรี!J124"")"),0)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IFERROR(__xludf.DUMMYFUNCTION("IMPORTRANGE(""https://docs.google.com/spreadsheets/d/1SX6NBoVAgQJ6U1MVXOaj8PK2l7WJ3RER9xtqwdhxkhw/edit?usp=sharing"",""เพชรบุรี!I125"")"),30000)</f>
        <v>30000</v>
      </c>
      <c r="J200" s="190">
        <f ca="1">IFERROR(__xludf.DUMMYFUNCTION("IMPORTRANGE(""https://docs.google.com/spreadsheets/d/1SX6NBoVAgQJ6U1MVXOaj8PK2l7WJ3RER9xtqwdhxkhw/edit?usp=sharing"",""เพชรบุรี!J125"")"),0)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IFERROR(__xludf.DUMMYFUNCTION("IMPORTRANGE(""https://docs.google.com/spreadsheets/d/1SX6NBoVAgQJ6U1MVXOaj8PK2l7WJ3RER9xtqwdhxkhw/edit?usp=sharing"",""เพชรบุรี!I126"")"),0)</f>
        <v>0</v>
      </c>
      <c r="J201" s="190">
        <f ca="1">IFERROR(__xludf.DUMMYFUNCTION("IMPORTRANGE(""https://docs.google.com/spreadsheets/d/1SX6NBoVAgQJ6U1MVXOaj8PK2l7WJ3RER9xtqwdhxkhw/edit?usp=sharing"",""เพชรบุรี!J126"")"),0)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IFERROR(__xludf.DUMMYFUNCTION("IMPORTRANGE(""https://docs.google.com/spreadsheets/d/1SX6NBoVAgQJ6U1MVXOaj8PK2l7WJ3RER9xtqwdhxkhw/edit?usp=sharing"",""เพชรบุรี!J127"")"),0)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IFERROR(__xludf.DUMMYFUNCTION("IMPORTRANGE(""https://docs.google.com/spreadsheets/d/1SX6NBoVAgQJ6U1MVXOaj8PK2l7WJ3RER9xtqwdhxkhw/edit?usp=sharing"",""เพชรบุรี!J128"")"),0)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IFERROR(__xludf.DUMMYFUNCTION("IMPORTRANGE(""https://docs.google.com/spreadsheets/d/1SX6NBoVAgQJ6U1MVXOaj8PK2l7WJ3RER9xtqwdhxkhw/edit?usp=sharing"",""เพชรบุรี!I129"")"),0)</f>
        <v>0</v>
      </c>
      <c r="J204" s="284">
        <f ca="1">IFERROR(__xludf.DUMMYFUNCTION("IMPORTRANGE(""https://docs.google.com/spreadsheets/d/1SX6NBoVAgQJ6U1MVXOaj8PK2l7WJ3RER9xtqwdhxkhw/edit?usp=sharing"",""เพชรบุรี!J129"")"),0)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IFERROR(__xludf.DUMMYFUNCTION("IMPORTRANGE(""https://docs.google.com/spreadsheets/d/1SX6NBoVAgQJ6U1MVXOaj8PK2l7WJ3RER9xtqwdhxkhw/edit?usp=sharing"",""เพชรบุรี!I138"")"),0)</f>
        <v>0</v>
      </c>
      <c r="J213" s="205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IFERROR(__xludf.DUMMYFUNCTION("IMPORTRANGE(""https://docs.google.com/spreadsheets/d/1SX6NBoVAgQJ6U1MVXOaj8PK2l7WJ3RER9xtqwdhxkhw/edit?usp=sharing"",""เพชรบุรี!I140"")"),0)</f>
        <v>0</v>
      </c>
      <c r="J215" s="205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IFERROR(__xludf.DUMMYFUNCTION("IMPORTRANGE(""https://docs.google.com/spreadsheets/d/1SX6NBoVAgQJ6U1MVXOaj8PK2l7WJ3RER9xtqwdhxkhw/edit?usp=sharing"",""เพชรบุรี!I141"")"),0)</f>
        <v>0</v>
      </c>
      <c r="J216" s="205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20145</v>
      </c>
      <c r="O220" s="151">
        <f t="shared" ref="O220:O222" ca="1" si="73">IF(L220&gt;0,N220*100/L220,0)</f>
        <v>95.360946745562131</v>
      </c>
      <c r="P220" s="151">
        <f t="shared" ref="P220:P222" ca="1" si="74">IF(M220&gt;0,N220*100/M220,0)</f>
        <v>95.360946745562131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20145</v>
      </c>
      <c r="O222" s="156">
        <f t="shared" ca="1" si="73"/>
        <v>95.360946745562131</v>
      </c>
      <c r="P222" s="156">
        <f t="shared" ca="1" si="74"/>
        <v>95.360946745562131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IFERROR(__xludf.DUMMYFUNCTION("IMPORTRANGE(""https://docs.google.com/spreadsheets/d/1Yj_ptqi66GCucihVvJfMjLAmec39IyEx_6qawtMGysU/edit?usp=sharing"",""สบก!BS71"")"),21125)</f>
        <v>21125</v>
      </c>
      <c r="N224" s="170">
        <f ca="1">IFERROR(__xludf.DUMMYFUNCTION("IMPORTRANGE(""https://docs.google.com/spreadsheets/d/1Yj_ptqi66GCucihVvJfMjLAmec39IyEx_6qawtMGysU/edit?usp=sharing"",""สบก!BT71"")"),20145)</f>
        <v>20145</v>
      </c>
      <c r="O224" s="170">
        <f ca="1">IF(L224&gt;0,N224*100/L224,0)</f>
        <v>95.360946745562131</v>
      </c>
      <c r="P224" s="170">
        <f ca="1">IF(M224&gt;0,N224*100/M224,0)</f>
        <v>95.360946745562131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IFERROR(__xludf.DUMMYFUNCTION("IMPORTRANGE(""https://docs.google.com/spreadsheets/d/1Yj_ptqi66GCucihVvJfMjLAmec39IyEx_6qawtMGysU/edit?usp=sharing"",""สบก!BO71"")"),0)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IFERROR(__xludf.DUMMYFUNCTION("IMPORTRANGE(""https://docs.google.com/spreadsheets/d/1Yj_ptqi66GCucihVvJfMjLAmec39IyEx_6qawtMGysU/edit?usp=sharing"",""สบก!BP71"")"),21125)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IFERROR(__xludf.DUMMYFUNCTION("IMPORTRANGE(""https://docs.google.com/spreadsheets/d/1SX6NBoVAgQJ6U1MVXOaj8PK2l7WJ3RER9xtqwdhxkhw/edit?usp=sharing"",""เพชรบุรี!J151"")"),0)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IFERROR(__xludf.DUMMYFUNCTION("IMPORTRANGE(""https://docs.google.com/spreadsheets/d/1SX6NBoVAgQJ6U1MVXOaj8PK2l7WJ3RER9xtqwdhxkhw/edit?usp=sharing"",""เพชรบุรี!J152"")"),1)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IFERROR(__xludf.DUMMYFUNCTION("IMPORTRANGE(""https://docs.google.com/spreadsheets/d/1SX6NBoVAgQJ6U1MVXOaj8PK2l7WJ3RER9xtqwdhxkhw/edit?usp=sharing"",""เพชรบุรี!J153"")"),1)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IFERROR(__xludf.DUMMYFUNCTION("IMPORTRANGE(""https://docs.google.com/spreadsheets/d/1SX6NBoVAgQJ6U1MVXOaj8PK2l7WJ3RER9xtqwdhxkhw/edit?usp=sharing"",""เพชรบุรี!J154"")"),1)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IFERROR(__xludf.DUMMYFUNCTION("IMPORTRANGE(""https://docs.google.com/spreadsheets/d/1SX6NBoVAgQJ6U1MVXOaj8PK2l7WJ3RER9xtqwdhxkhw/edit?usp=sharing"",""เพชรบุรี!I155"")"),15)</f>
        <v>15</v>
      </c>
      <c r="J235" s="190">
        <f ca="1">IFERROR(__xludf.DUMMYFUNCTION("IMPORTRANGE(""https://docs.google.com/spreadsheets/d/1SX6NBoVAgQJ6U1MVXOaj8PK2l7WJ3RER9xtqwdhxkhw/edit?usp=sharing"",""เพชรบุรี!J155"")"),15)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IFERROR(__xludf.DUMMYFUNCTION("IMPORTRANGE(""https://docs.google.com/spreadsheets/d/1SX6NBoVAgQJ6U1MVXOaj8PK2l7WJ3RER9xtqwdhxkhw/edit?usp=sharing"",""เพชรบุรี!J156"")"),0)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IFERROR(__xludf.DUMMYFUNCTION("IMPORTRANGE(""https://docs.google.com/spreadsheets/d/1SX6NBoVAgQJ6U1MVXOaj8PK2l7WJ3RER9xtqwdhxkhw/edit?usp=sharing"",""เพชรบุรี!J157"")"),0)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IFERROR(__xludf.DUMMYFUNCTION("IMPORTRANGE(""https://docs.google.com/spreadsheets/d/1SX6NBoVAgQJ6U1MVXOaj8PK2l7WJ3RER9xtqwdhxkhw/edit?usp=sharing"",""เพชรบุรี!J159"")"),"")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IFERROR(__xludf.DUMMYFUNCTION("IMPORTRANGE(""https://docs.google.com/spreadsheets/d/1SX6NBoVAgQJ6U1MVXOaj8PK2l7WJ3RER9xtqwdhxkhw/edit?usp=sharing"",""เพชรบุรี!J161"")"),0)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IFERROR(__xludf.DUMMYFUNCTION("IMPORTRANGE(""https://docs.google.com/spreadsheets/d/1SX6NBoVAgQJ6U1MVXOaj8PK2l7WJ3RER9xtqwdhxkhw/edit?usp=sharing"",""เพชรบุรี!J162"")"),0)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IFERROR(__xludf.DUMMYFUNCTION("IMPORTRANGE(""https://docs.google.com/spreadsheets/d/1SX6NBoVAgQJ6U1MVXOaj8PK2l7WJ3RER9xtqwdhxkhw/edit?usp=sharing"",""เพชรบุรี!J163"")"),0)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IFERROR(__xludf.DUMMYFUNCTION("IMPORTRANGE(""https://docs.google.com/spreadsheets/d/1SX6NBoVAgQJ6U1MVXOaj8PK2l7WJ3RER9xtqwdhxkhw/edit?usp=sharing"",""เพชรบุรี!I164"")"),0)</f>
        <v>0</v>
      </c>
      <c r="J244" s="189">
        <f ca="1">IFERROR(__xludf.DUMMYFUNCTION("IMPORTRANGE(""https://docs.google.com/spreadsheets/d/1SX6NBoVAgQJ6U1MVXOaj8PK2l7WJ3RER9xtqwdhxkhw/edit?usp=sharing"",""เพชรบุรี!J164"")"),0)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IFERROR(__xludf.DUMMYFUNCTION("IMPORTRANGE(""https://docs.google.com/spreadsheets/d/1SX6NBoVAgQJ6U1MVXOaj8PK2l7WJ3RER9xtqwdhxkhw/edit?usp=sharing"",""เพชรบุรี!J165"")"),0)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IFERROR(__xludf.DUMMYFUNCTION("IMPORTRANGE(""https://docs.google.com/spreadsheets/d/1SX6NBoVAgQJ6U1MVXOaj8PK2l7WJ3RER9xtqwdhxkhw/edit?usp=sharing"",""เพชรบุรี!I169"")"),0)</f>
        <v>0</v>
      </c>
      <c r="J249" s="316">
        <f ca="1">IFERROR(__xludf.DUMMYFUNCTION("IMPORTRANGE(""https://docs.google.com/spreadsheets/d/1SX6NBoVAgQJ6U1MVXOaj8PK2l7WJ3RER9xtqwdhxkhw/edit?usp=sharing"",""เพชรบุรี!J169"")"),0)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IFERROR(__xludf.DUMMYFUNCTION("IMPORTRANGE(""https://docs.google.com/spreadsheets/d/1Yj_ptqi66GCucihVvJfMjLAmec39IyEx_6qawtMGysU/edit?usp=sharing"",""สบก!CB71"")"),0)</f>
        <v>0</v>
      </c>
      <c r="N254" s="170">
        <f ca="1">IFERROR(__xludf.DUMMYFUNCTION("IMPORTRANGE(""https://docs.google.com/spreadsheets/d/1Yj_ptqi66GCucihVvJfMjLAmec39IyEx_6qawtMGysU/edit?usp=sharing"",""สบก!CC71"")"),0)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IFERROR(__xludf.DUMMYFUNCTION("IMPORTRANGE(""https://docs.google.com/spreadsheets/d/1Yj_ptqi66GCucihVvJfMjLAmec39IyEx_6qawtMGysU/edit?usp=sharing"",""สบก!BX71"")"),0)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IFERROR(__xludf.DUMMYFUNCTION("IMPORTRANGE(""https://docs.google.com/spreadsheets/d/1Yj_ptqi66GCucihVvJfMjLAmec39IyEx_6qawtMGysU/edit?usp=sharing"",""สบก!BY71"")"),0)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IFERROR(__xludf.DUMMYFUNCTION("IMPORTRANGE(""https://docs.google.com/spreadsheets/d/1SX6NBoVAgQJ6U1MVXOaj8PK2l7WJ3RER9xtqwdhxkhw/edit?usp=sharing"",""เพชรบุรี!J175"")"),0)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IFERROR(__xludf.DUMMYFUNCTION("IMPORTRANGE(""https://docs.google.com/spreadsheets/d/1SX6NBoVAgQJ6U1MVXOaj8PK2l7WJ3RER9xtqwdhxkhw/edit?usp=sharing"",""เพชรบุรี!J176"")"),0)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IFERROR(__xludf.DUMMYFUNCTION("IMPORTRANGE(""https://docs.google.com/spreadsheets/d/1SX6NBoVAgQJ6U1MVXOaj8PK2l7WJ3RER9xtqwdhxkhw/edit?usp=sharing"",""เพชรบุรี!J177"")"),0)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IFERROR(__xludf.DUMMYFUNCTION("IMPORTRANGE(""https://docs.google.com/spreadsheets/d/1SX6NBoVAgQJ6U1MVXOaj8PK2l7WJ3RER9xtqwdhxkhw/edit?usp=sharing"",""เพชรบุรี!J178"")"),0)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IFERROR(__xludf.DUMMYFUNCTION("IMPORTRANGE(""https://docs.google.com/spreadsheets/d/1SX6NBoVAgQJ6U1MVXOaj8PK2l7WJ3RER9xtqwdhxkhw/edit?usp=sharing"",""เพชรบุรี!I179"")"),0)</f>
        <v>0</v>
      </c>
      <c r="J264" s="190">
        <f ca="1">IFERROR(__xludf.DUMMYFUNCTION("IMPORTRANGE(""https://docs.google.com/spreadsheets/d/1SX6NBoVAgQJ6U1MVXOaj8PK2l7WJ3RER9xtqwdhxkhw/edit?usp=sharing"",""เพชรบุรี!J179"")"),0)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IFERROR(__xludf.DUMMYFUNCTION("IMPORTRANGE(""https://docs.google.com/spreadsheets/d/1SX6NBoVAgQJ6U1MVXOaj8PK2l7WJ3RER9xtqwdhxkhw/edit?usp=sharing"",""เพชรบุรี!I180"")"),0)</f>
        <v>0</v>
      </c>
      <c r="J265" s="190">
        <f ca="1">IFERROR(__xludf.DUMMYFUNCTION("IMPORTRANGE(""https://docs.google.com/spreadsheets/d/1SX6NBoVAgQJ6U1MVXOaj8PK2l7WJ3RER9xtqwdhxkhw/edit?usp=sharing"",""เพชรบุรี!J180"")"),0)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IFERROR(__xludf.DUMMYFUNCTION("IMPORTRANGE(""https://docs.google.com/spreadsheets/d/1SX6NBoVAgQJ6U1MVXOaj8PK2l7WJ3RER9xtqwdhxkhw/edit?usp=sharing"",""เพชรบุรี!I181"")"),0)</f>
        <v>0</v>
      </c>
      <c r="J266" s="190">
        <f ca="1">IFERROR(__xludf.DUMMYFUNCTION("IMPORTRANGE(""https://docs.google.com/spreadsheets/d/1SX6NBoVAgQJ6U1MVXOaj8PK2l7WJ3RER9xtqwdhxkhw/edit?usp=sharing"",""เพชรบุรี!J181"")"),0)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IFERROR(__xludf.DUMMYFUNCTION("IMPORTRANGE(""https://docs.google.com/spreadsheets/d/1SX6NBoVAgQJ6U1MVXOaj8PK2l7WJ3RER9xtqwdhxkhw/edit?usp=sharing"",""เพชรบุรี!I182"")"),0)</f>
        <v>0</v>
      </c>
      <c r="J267" s="190">
        <f ca="1">IFERROR(__xludf.DUMMYFUNCTION("IMPORTRANGE(""https://docs.google.com/spreadsheets/d/1SX6NBoVAgQJ6U1MVXOaj8PK2l7WJ3RER9xtqwdhxkhw/edit?usp=sharing"",""เพชรบุรี!J182"")"),0)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IFERROR(__xludf.DUMMYFUNCTION("IMPORTRANGE(""https://docs.google.com/spreadsheets/d/1SX6NBoVAgQJ6U1MVXOaj8PK2l7WJ3RER9xtqwdhxkhw/edit?usp=sharing"",""เพชรบุรี!J183"")"),0)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IFERROR(__xludf.DUMMYFUNCTION("IMPORTRANGE(""https://docs.google.com/spreadsheets/d/1SX6NBoVAgQJ6U1MVXOaj8PK2l7WJ3RER9xtqwdhxkhw/edit?usp=sharing"",""เพชรบุรี!J184"")"),0)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IFERROR(__xludf.DUMMYFUNCTION("IMPORTRANGE(""https://docs.google.com/spreadsheets/d/1SX6NBoVAgQJ6U1MVXOaj8PK2l7WJ3RER9xtqwdhxkhw/edit?usp=sharing"",""เพชรบุรี!I185"")"),0)</f>
        <v>0</v>
      </c>
      <c r="J270" s="316">
        <f ca="1">IFERROR(__xludf.DUMMYFUNCTION("IMPORTRANGE(""https://docs.google.com/spreadsheets/d/1SX6NBoVAgQJ6U1MVXOaj8PK2l7WJ3RER9xtqwdhxkhw/edit?usp=sharing"",""เพชรบุรี!J185"")"),0)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IFERROR(__xludf.DUMMYFUNCTION("IMPORTRANGE(""https://docs.google.com/spreadsheets/d/1Yj_ptqi66GCucihVvJfMjLAmec39IyEx_6qawtMGysU/edit?usp=sharing"",""สบก!CK71"")"),0)</f>
        <v>0</v>
      </c>
      <c r="N275" s="170">
        <f ca="1">IFERROR(__xludf.DUMMYFUNCTION("IMPORTRANGE(""https://docs.google.com/spreadsheets/d/1Yj_ptqi66GCucihVvJfMjLAmec39IyEx_6qawtMGysU/edit?usp=sharing"",""สบก!CL71"")"),0)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IFERROR(__xludf.DUMMYFUNCTION("IMPORTRANGE(""https://docs.google.com/spreadsheets/d/1Yj_ptqi66GCucihVvJfMjLAmec39IyEx_6qawtMGysU/edit?usp=sharing"",""สบก!CG71"")"),0)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IFERROR(__xludf.DUMMYFUNCTION("IMPORTRANGE(""https://docs.google.com/spreadsheets/d/1Yj_ptqi66GCucihVvJfMjLAmec39IyEx_6qawtMGysU/edit?usp=sharing"",""สบก!CH71"")"),0)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IFERROR(__xludf.DUMMYFUNCTION("IMPORTRANGE(""https://docs.google.com/spreadsheets/d/1SX6NBoVAgQJ6U1MVXOaj8PK2l7WJ3RER9xtqwdhxkhw/edit?usp=sharing"",""เพชรบุรี!J191"")"),0)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IFERROR(__xludf.DUMMYFUNCTION("IMPORTRANGE(""https://docs.google.com/spreadsheets/d/1SX6NBoVAgQJ6U1MVXOaj8PK2l7WJ3RER9xtqwdhxkhw/edit?usp=sharing"",""เพชรบุรี!J192"")"),0)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IFERROR(__xludf.DUMMYFUNCTION("IMPORTRANGE(""https://docs.google.com/spreadsheets/d/1SX6NBoVAgQJ6U1MVXOaj8PK2l7WJ3RER9xtqwdhxkhw/edit?usp=sharing"",""เพชรบุรี!J193"")"),0)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IFERROR(__xludf.DUMMYFUNCTION("IMPORTRANGE(""https://docs.google.com/spreadsheets/d/1SX6NBoVAgQJ6U1MVXOaj8PK2l7WJ3RER9xtqwdhxkhw/edit?usp=sharing"",""เพชรบุรี!J194"")"),0)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IFERROR(__xludf.DUMMYFUNCTION("IMPORTRANGE(""https://docs.google.com/spreadsheets/d/1SX6NBoVAgQJ6U1MVXOaj8PK2l7WJ3RER9xtqwdhxkhw/edit?usp=sharing"",""เพชรบุรี!I195"")"),0)</f>
        <v>0</v>
      </c>
      <c r="J285" s="190">
        <f ca="1">IFERROR(__xludf.DUMMYFUNCTION("IMPORTRANGE(""https://docs.google.com/spreadsheets/d/1SX6NBoVAgQJ6U1MVXOaj8PK2l7WJ3RER9xtqwdhxkhw/edit?usp=sharing"",""เพชรบุรี!J195"")"),0)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IFERROR(__xludf.DUMMYFUNCTION("IMPORTRANGE(""https://docs.google.com/spreadsheets/d/1SX6NBoVAgQJ6U1MVXOaj8PK2l7WJ3RER9xtqwdhxkhw/edit?usp=sharing"",""เพชรบุรี!J196"")"),0)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IFERROR(__xludf.DUMMYFUNCTION("IMPORTRANGE(""https://docs.google.com/spreadsheets/d/1SX6NBoVAgQJ6U1MVXOaj8PK2l7WJ3RER9xtqwdhxkhw/edit?usp=sharing"",""เพชรบุรี!I199"")"),0)</f>
        <v>0</v>
      </c>
      <c r="J289" s="316">
        <f ca="1">IFERROR(__xludf.DUMMYFUNCTION("IMPORTRANGE(""https://docs.google.com/spreadsheets/d/1SX6NBoVAgQJ6U1MVXOaj8PK2l7WJ3RER9xtqwdhxkhw/edit?usp=sharing"",""เพชรบุรี!J199"")"),0)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IFERROR(__xludf.DUMMYFUNCTION("IMPORTRANGE(""https://docs.google.com/spreadsheets/d/1Yj_ptqi66GCucihVvJfMjLAmec39IyEx_6qawtMGysU/edit?usp=sharing"",""สบก!CT71"")"),0)</f>
        <v>0</v>
      </c>
      <c r="N294" s="170">
        <f ca="1">IFERROR(__xludf.DUMMYFUNCTION("IMPORTRANGE(""https://docs.google.com/spreadsheets/d/1Yj_ptqi66GCucihVvJfMjLAmec39IyEx_6qawtMGysU/edit?usp=sharing"",""สบก!CU71"")"),0)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IFERROR(__xludf.DUMMYFUNCTION("IMPORTRANGE(""https://docs.google.com/spreadsheets/d/1Yj_ptqi66GCucihVvJfMjLAmec39IyEx_6qawtMGysU/edit?usp=sharing"",""สบก!CP71"")"),0)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IFERROR(__xludf.DUMMYFUNCTION("IMPORTRANGE(""https://docs.google.com/spreadsheets/d/1Yj_ptqi66GCucihVvJfMjLAmec39IyEx_6qawtMGysU/edit?usp=sharing"",""สบก!CQ71"")"),0)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IFERROR(__xludf.DUMMYFUNCTION("IMPORTRANGE(""https://docs.google.com/spreadsheets/d/1SX6NBoVAgQJ6U1MVXOaj8PK2l7WJ3RER9xtqwdhxkhw/edit?usp=sharing"",""เพชรบุรี!I209"")"),0)</f>
        <v>0</v>
      </c>
      <c r="J304" s="205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IFERROR(__xludf.DUMMYFUNCTION("IMPORTRANGE(""https://docs.google.com/spreadsheets/d/1SX6NBoVAgQJ6U1MVXOaj8PK2l7WJ3RER9xtqwdhxkhw/edit?usp=sharing"",""เพชรบุรี!I211"")"),0)</f>
        <v>0</v>
      </c>
      <c r="J306" s="205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IFERROR(__xludf.DUMMYFUNCTION("IMPORTRANGE(""https://docs.google.com/spreadsheets/d/1SX6NBoVAgQJ6U1MVXOaj8PK2l7WJ3RER9xtqwdhxkhw/edit?usp=sharing"",""เพชรบุรี!I214"")"),0)</f>
        <v>0</v>
      </c>
      <c r="J309" s="333">
        <f ca="1">IFERROR(__xludf.DUMMYFUNCTION("IMPORTRANGE(""https://docs.google.com/spreadsheets/d/1SX6NBoVAgQJ6U1MVXOaj8PK2l7WJ3RER9xtqwdhxkhw/edit?usp=sharing"",""เพชรบุรี!J214"")"),0)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IFERROR(__xludf.DUMMYFUNCTION("IMPORTRANGE(""https://docs.google.com/spreadsheets/d/1Yj_ptqi66GCucihVvJfMjLAmec39IyEx_6qawtMGysU/edit?usp=sharing"",""สบก!DC71"")"),0)</f>
        <v>0</v>
      </c>
      <c r="N314" s="170">
        <f ca="1">IFERROR(__xludf.DUMMYFUNCTION("IMPORTRANGE(""https://docs.google.com/spreadsheets/d/1Yj_ptqi66GCucihVvJfMjLAmec39IyEx_6qawtMGysU/edit?usp=sharing"",""สบก!DD71"")"),0)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IFERROR(__xludf.DUMMYFUNCTION("IMPORTRANGE(""https://docs.google.com/spreadsheets/d/1Yj_ptqi66GCucihVvJfMjLAmec39IyEx_6qawtMGysU/edit?usp=sharing"",""สบก!CY71"")"),0)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IFERROR(__xludf.DUMMYFUNCTION("IMPORTRANGE(""https://docs.google.com/spreadsheets/d/1Yj_ptqi66GCucihVvJfMjLAmec39IyEx_6qawtMGysU/edit?usp=sharing"",""สบก!CZ71"")"),0)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IFERROR(__xludf.DUMMYFUNCTION("IMPORTRANGE(""https://docs.google.com/spreadsheets/d/1SX6NBoVAgQJ6U1MVXOaj8PK2l7WJ3RER9xtqwdhxkhw/edit?usp=sharing"",""เพชรบุรี!I224"")"),0)</f>
        <v>0</v>
      </c>
      <c r="J324" s="205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IFERROR(__xludf.DUMMYFUNCTION("IMPORTRANGE(""https://docs.google.com/spreadsheets/d/1SX6NBoVAgQJ6U1MVXOaj8PK2l7WJ3RER9xtqwdhxkhw/edit?usp=sharing"",""เพชรบุรี!I228"")"),33)</f>
        <v>33</v>
      </c>
      <c r="J328" s="339">
        <f ca="1">IFERROR(__xludf.DUMMYFUNCTION("IMPORTRANGE(""https://docs.google.com/spreadsheets/d/1SX6NBoVAgQJ6U1MVXOaj8PK2l7WJ3RER9xtqwdhxkhw/edit?usp=sharing"",""เพชรบุรี!J228"")"),1)</f>
        <v>1</v>
      </c>
      <c r="K328" s="317">
        <f ca="1">IF(I328&gt;0,J328*100/I328,0)</f>
        <v>3.0303030303030303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701880</v>
      </c>
      <c r="M329" s="152">
        <f t="shared" ca="1" si="98"/>
        <v>354120</v>
      </c>
      <c r="N329" s="152">
        <f t="shared" ca="1" si="98"/>
        <v>351648</v>
      </c>
      <c r="O329" s="151">
        <f t="shared" ref="O329:O331" ca="1" si="99">IF(L329&gt;0,N329*100/L329,0)</f>
        <v>50.100871943922037</v>
      </c>
      <c r="P329" s="151">
        <f t="shared" ref="P329:P331" ca="1" si="100">IF(M329&gt;0,N329*100/M329,0)</f>
        <v>99.301931548627579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701880</v>
      </c>
      <c r="M331" s="157">
        <f t="shared" ca="1" si="102"/>
        <v>354120</v>
      </c>
      <c r="N331" s="157">
        <f t="shared" ca="1" si="102"/>
        <v>351648</v>
      </c>
      <c r="O331" s="156">
        <f t="shared" ca="1" si="99"/>
        <v>50.100871943922037</v>
      </c>
      <c r="P331" s="156">
        <f t="shared" ca="1" si="100"/>
        <v>99.301931548627579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701880</v>
      </c>
      <c r="M333" s="169">
        <f ca="1">IFERROR(__xludf.DUMMYFUNCTION("IMPORTRANGE(""https://docs.google.com/spreadsheets/d/1Yj_ptqi66GCucihVvJfMjLAmec39IyEx_6qawtMGysU/edit?usp=sharing"",""สบก!DL71"")"),354120)</f>
        <v>354120</v>
      </c>
      <c r="N333" s="170">
        <f ca="1">IFERROR(__xludf.DUMMYFUNCTION("IMPORTRANGE(""https://docs.google.com/spreadsheets/d/1Yj_ptqi66GCucihVvJfMjLAmec39IyEx_6qawtMGysU/edit?usp=sharing"",""สบก!DM71"")"),351648)</f>
        <v>351648</v>
      </c>
      <c r="O333" s="170">
        <f ca="1">IF(L333&gt;0,N333*100/L333,0)</f>
        <v>50.100871943922037</v>
      </c>
      <c r="P333" s="170">
        <f ca="1">IF(M333&gt;0,N333*100/M333,0)</f>
        <v>99.301931548627579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IFERROR(__xludf.DUMMYFUNCTION("IMPORTRANGE(""https://docs.google.com/spreadsheets/d/1Yj_ptqi66GCucihVvJfMjLAmec39IyEx_6qawtMGysU/edit?usp=sharing"",""สบก!DH71"")"),493800)</f>
        <v>493800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IFERROR(__xludf.DUMMYFUNCTION("IMPORTRANGE(""https://docs.google.com/spreadsheets/d/1Yj_ptqi66GCucihVvJfMjLAmec39IyEx_6qawtMGysU/edit?usp=sharing"",""สบก!DI71"")"),208080)</f>
        <v>208080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IFERROR(__xludf.DUMMYFUNCTION("IMPORTRANGE(""https://docs.google.com/spreadsheets/d/1SX6NBoVAgQJ6U1MVXOaj8PK2l7WJ3RER9xtqwdhxkhw/edit?usp=sharing"",""เพชรบุรี!I234"")"),0)</f>
        <v>0</v>
      </c>
      <c r="J339" s="189">
        <f ca="1">IFERROR(__xludf.DUMMYFUNCTION("IMPORTRANGE(""https://docs.google.com/spreadsheets/d/1SX6NBoVAgQJ6U1MVXOaj8PK2l7WJ3RER9xtqwdhxkhw/edit?usp=sharing"",""เพชรบุรี!J234"")"),0)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IFERROR(__xludf.DUMMYFUNCTION("IMPORTRANGE(""https://docs.google.com/spreadsheets/d/1SX6NBoVAgQJ6U1MVXOaj8PK2l7WJ3RER9xtqwdhxkhw/edit?usp=sharing"",""เพชรบุรี!I235"")"),180)</f>
        <v>180</v>
      </c>
      <c r="J340" s="189">
        <f ca="1">IFERROR(__xludf.DUMMYFUNCTION("IMPORTRANGE(""https://docs.google.com/spreadsheets/d/1SX6NBoVAgQJ6U1MVXOaj8PK2l7WJ3RER9xtqwdhxkhw/edit?usp=sharing"",""เพชรบุรี!J235"")"),0)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IFERROR(__xludf.DUMMYFUNCTION("IMPORTRANGE(""https://docs.google.com/spreadsheets/d/1SX6NBoVAgQJ6U1MVXOaj8PK2l7WJ3RER9xtqwdhxkhw/edit?usp=sharing"",""เพชรบุรี!I236"")"),33)</f>
        <v>33</v>
      </c>
      <c r="J341" s="189">
        <f ca="1">IFERROR(__xludf.DUMMYFUNCTION("IMPORTRANGE(""https://docs.google.com/spreadsheets/d/1SX6NBoVAgQJ6U1MVXOaj8PK2l7WJ3RER9xtqwdhxkhw/edit?usp=sharing"",""เพชรบุรี!J236"")"),5)</f>
        <v>5</v>
      </c>
      <c r="K341" s="342">
        <f t="shared" ca="1" si="103"/>
        <v>15.151515151515152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9">
        <f ca="1">IFERROR(__xludf.DUMMYFUNCTION("IMPORTRANGE(""https://docs.google.com/spreadsheets/d/1SX6NBoVAgQJ6U1MVXOaj8PK2l7WJ3RER9xtqwdhxkhw/edit?usp=sharing"",""เพชรบุรี!J237"")"),48.1)</f>
        <v>48.1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IFERROR(__xludf.DUMMYFUNCTION("IMPORTRANGE(""https://docs.google.com/spreadsheets/d/1SX6NBoVAgQJ6U1MVXOaj8PK2l7WJ3RER9xtqwdhxkhw/edit?usp=sharing"",""เพชรบุรี!I238"")"),33)</f>
        <v>33</v>
      </c>
      <c r="J343" s="189">
        <f ca="1">IFERROR(__xludf.DUMMYFUNCTION("IMPORTRANGE(""https://docs.google.com/spreadsheets/d/1SX6NBoVAgQJ6U1MVXOaj8PK2l7WJ3RER9xtqwdhxkhw/edit?usp=sharing"",""เพชรบุรี!J238"")"),0)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9">
        <f ca="1">IFERROR(__xludf.DUMMYFUNCTION("IMPORTRANGE(""https://docs.google.com/spreadsheets/d/1SX6NBoVAgQJ6U1MVXOaj8PK2l7WJ3RER9xtqwdhxkhw/edit?usp=sharing"",""เพชรบุรี!J239"")"),0)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IFERROR(__xludf.DUMMYFUNCTION("IMPORTRANGE(""https://docs.google.com/spreadsheets/d/1SX6NBoVAgQJ6U1MVXOaj8PK2l7WJ3RER9xtqwdhxkhw/edit?usp=sharing"",""เพชรบุรี!I240"")"),33)</f>
        <v>33</v>
      </c>
      <c r="J345" s="189">
        <f ca="1">IFERROR(__xludf.DUMMYFUNCTION("IMPORTRANGE(""https://docs.google.com/spreadsheets/d/1SX6NBoVAgQJ6U1MVXOaj8PK2l7WJ3RER9xtqwdhxkhw/edit?usp=sharing"",""เพชรบุรี!J240"")"),1)</f>
        <v>1</v>
      </c>
      <c r="K345" s="342">
        <f t="shared" ca="1" si="103"/>
        <v>3.0303030303030303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9">
        <f ca="1">IFERROR(__xludf.DUMMYFUNCTION("IMPORTRANGE(""https://docs.google.com/spreadsheets/d/1SX6NBoVAgQJ6U1MVXOaj8PK2l7WJ3RER9xtqwdhxkhw/edit?usp=sharing"",""เพชรบุรี!J241"")"),6.71)</f>
        <v>6.71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IFERROR(__xludf.DUMMYFUNCTION("IMPORTRANGE(""https://docs.google.com/spreadsheets/d/1SX6NBoVAgQJ6U1MVXOaj8PK2l7WJ3RER9xtqwdhxkhw/edit?usp=sharing"",""เพชรบุรี!L242"")"),837597)</f>
        <v>837597</v>
      </c>
      <c r="M347" s="358"/>
      <c r="N347" s="358">
        <f ca="1">IFERROR(__xludf.DUMMYFUNCTION("IMPORTRANGE(""https://docs.google.com/spreadsheets/d/1SX6NBoVAgQJ6U1MVXOaj8PK2l7WJ3RER9xtqwdhxkhw/edit?usp=sharing"",""เพชรบุรี!M242"")"),239770)</f>
        <v>239770</v>
      </c>
      <c r="O347" s="358">
        <f ca="1">+IF(L347&gt;0,N347*100/L347,0)</f>
        <v>28.625938249540052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IFERROR(__xludf.DUMMYFUNCTION("IMPORTRANGE(""https://docs.google.com/spreadsheets/d/1SX6NBoVAgQJ6U1MVXOaj8PK2l7WJ3RER9xtqwdhxkhw/edit?usp=sharing"",""เพชรบุรี!L246"")"),0)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IFERROR(__xludf.DUMMYFUNCTION("IMPORTRANGE(""https://docs.google.com/spreadsheets/d/1SX6NBoVAgQJ6U1MVXOaj8PK2l7WJ3RER9xtqwdhxkhw/edit?usp=sharing"",""เพชรบุรี!M246"")"),0)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IFERROR(__xludf.DUMMYFUNCTION("IMPORTRANGE(""https://docs.google.com/spreadsheets/d/1SX6NBoVAgQJ6U1MVXOaj8PK2l7WJ3RER9xtqwdhxkhw/edit?usp=sharing"",""เพชรบุรี!L247"")"),0)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IFERROR(__xludf.DUMMYFUNCTION("IMPORTRANGE(""https://docs.google.com/spreadsheets/d/1SX6NBoVAgQJ6U1MVXOaj8PK2l7WJ3RER9xtqwdhxkhw/edit?usp=sharing"",""เพชรบุรี!M247"")"),0)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IFERROR(__xludf.DUMMYFUNCTION("IMPORTRANGE(""https://docs.google.com/spreadsheets/d/1SX6NBoVAgQJ6U1MVXOaj8PK2l7WJ3RER9xtqwdhxkhw/edit?usp=sharing"",""เพชรบุรี!L248"")"),0)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IFERROR(__xludf.DUMMYFUNCTION("IMPORTRANGE(""https://docs.google.com/spreadsheets/d/1SX6NBoVAgQJ6U1MVXOaj8PK2l7WJ3RER9xtqwdhxkhw/edit?usp=sharing"",""เพชรบุรี!M248"")"),0)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IFERROR(__xludf.DUMMYFUNCTION("IMPORTRANGE(""https://docs.google.com/spreadsheets/d/1SX6NBoVAgQJ6U1MVXOaj8PK2l7WJ3RER9xtqwdhxkhw/edit?usp=sharing"",""เพชรบุรี!L249"")"),0)</f>
        <v>0</v>
      </c>
      <c r="M354" s="170"/>
      <c r="N354" s="169">
        <f ca="1">IFERROR(__xludf.DUMMYFUNCTION("IMPORTRANGE(""https://docs.google.com/spreadsheets/d/1SX6NBoVAgQJ6U1MVXOaj8PK2l7WJ3RER9xtqwdhxkhw/edit?usp=sharing"",""เพชรบุรี!M249"")"),0)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IFERROR(__xludf.DUMMYFUNCTION("IMPORTRANGE(""https://docs.google.com/spreadsheets/d/1SX6NBoVAgQJ6U1MVXOaj8PK2l7WJ3RER9xtqwdhxkhw/edit?usp=sharing"",""เพชรบุรี!J255"")"),0)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IFERROR(__xludf.DUMMYFUNCTION("IMPORTRANGE(""https://docs.google.com/spreadsheets/d/1SX6NBoVAgQJ6U1MVXOaj8PK2l7WJ3RER9xtqwdhxkhw/edit?usp=sharing"",""เพชรบุรี!J256"")"),0)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IFERROR(__xludf.DUMMYFUNCTION("IMPORTRANGE(""https://docs.google.com/spreadsheets/d/1SX6NBoVAgQJ6U1MVXOaj8PK2l7WJ3RER9xtqwdhxkhw/edit?usp=sharing"",""เพชรบุรี!J257"")"),0)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IFERROR(__xludf.DUMMYFUNCTION("IMPORTRANGE(""https://docs.google.com/spreadsheets/d/1SX6NBoVAgQJ6U1MVXOaj8PK2l7WJ3RER9xtqwdhxkhw/edit?usp=sharing"",""เพชรบุรี!J258"")"),0)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IFERROR(__xludf.DUMMYFUNCTION("IMPORTRANGE(""https://docs.google.com/spreadsheets/d/1SX6NBoVAgQJ6U1MVXOaj8PK2l7WJ3RER9xtqwdhxkhw/edit?usp=sharing"",""เพชรบุรี!J166"")"),0)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IFERROR(__xludf.DUMMYFUNCTION("IMPORTRANGE(""https://docs.google.com/spreadsheets/d/1SX6NBoVAgQJ6U1MVXOaj8PK2l7WJ3RER9xtqwdhxkhw/edit?usp=sharing"",""เพชรบุรี!J166"")"),0)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IFERROR(__xludf.DUMMYFUNCTION("IMPORTRANGE(""https://docs.google.com/spreadsheets/d/1SX6NBoVAgQJ6U1MVXOaj8PK2l7WJ3RER9xtqwdhxkhw/edit?usp=sharing"",""เพชรบุรี!J166"")"),0)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IFERROR(__xludf.DUMMYFUNCTION("IMPORTRANGE(""https://docs.google.com/spreadsheets/d/1SX6NBoVAgQJ6U1MVXOaj8PK2l7WJ3RER9xtqwdhxkhw/edit?usp=sharing"",""เพชรบุรี!J166"")"),0)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IFERROR(__xludf.DUMMYFUNCTION("IMPORTRANGE(""https://docs.google.com/spreadsheets/d/1SX6NBoVAgQJ6U1MVXOaj8PK2l7WJ3RER9xtqwdhxkhw/edit?usp=sharing"",""เพชรบุรี!I263"")"),0)</f>
        <v>0</v>
      </c>
      <c r="J368" s="189">
        <f ca="1">IFERROR(__xludf.DUMMYFUNCTION("IMPORTRANGE(""https://docs.google.com/spreadsheets/d/1SX6NBoVAgQJ6U1MVXOaj8PK2l7WJ3RER9xtqwdhxkhw/edit?usp=sharing"",""เพชรบุรี!J263"")"),0)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IFERROR(__xludf.DUMMYFUNCTION("IMPORTRANGE(""https://docs.google.com/spreadsheets/d/1SX6NBoVAgQJ6U1MVXOaj8PK2l7WJ3RER9xtqwdhxkhw/edit?usp=sharing"",""เพชรบุรี!I164"")"),0)</f>
        <v>0</v>
      </c>
      <c r="J369" s="205">
        <f ca="1">IFERROR(__xludf.DUMMYFUNCTION("IMPORTRANGE(""https://docs.google.com/spreadsheets/d/1SX6NBoVAgQJ6U1MVXOaj8PK2l7WJ3RER9xtqwdhxkhw/edit?usp=sharing"",""เพชรบุรี!J164"")"),0)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IFERROR(__xludf.DUMMYFUNCTION("IMPORTRANGE(""https://docs.google.com/spreadsheets/d/1SX6NBoVAgQJ6U1MVXOaj8PK2l7WJ3RER9xtqwdhxkhw/edit?usp=sharing"",""เพชรบุรี!I265"")"),0)</f>
        <v>0</v>
      </c>
      <c r="J370" s="205">
        <f ca="1">IFERROR(__xludf.DUMMYFUNCTION("IMPORTRANGE(""https://docs.google.com/spreadsheets/d/1SX6NBoVAgQJ6U1MVXOaj8PK2l7WJ3RER9xtqwdhxkhw/edit?usp=sharing"",""เพชรบุรี!J265"")"),0)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IFERROR(__xludf.DUMMYFUNCTION("IMPORTRANGE(""https://docs.google.com/spreadsheets/d/1SX6NBoVAgQJ6U1MVXOaj8PK2l7WJ3RER9xtqwdhxkhw/edit?usp=sharing"",""เพชรบุรี!I164"")"),0)</f>
        <v>0</v>
      </c>
      <c r="J371" s="190">
        <f ca="1">IFERROR(__xludf.DUMMYFUNCTION("IMPORTRANGE(""https://docs.google.com/spreadsheets/d/1SX6NBoVAgQJ6U1MVXOaj8PK2l7WJ3RER9xtqwdhxkhw/edit?usp=sharing"",""เพชรบุรี!J164"")"),0)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IFERROR(__xludf.DUMMYFUNCTION("IMPORTRANGE(""https://docs.google.com/spreadsheets/d/1SX6NBoVAgQJ6U1MVXOaj8PK2l7WJ3RER9xtqwdhxkhw/edit?usp=sharing"",""เพชรบุรี!I267"")"),0)</f>
        <v>0</v>
      </c>
      <c r="J372" s="190">
        <f ca="1">IFERROR(__xludf.DUMMYFUNCTION("IMPORTRANGE(""https://docs.google.com/spreadsheets/d/1SX6NBoVAgQJ6U1MVXOaj8PK2l7WJ3RER9xtqwdhxkhw/edit?usp=sharing"",""เพชรบุรี!J267"")"),0)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IFERROR(__xludf.DUMMYFUNCTION("IMPORTRANGE(""https://docs.google.com/spreadsheets/d/1SX6NBoVAgQJ6U1MVXOaj8PK2l7WJ3RER9xtqwdhxkhw/edit?usp=sharing"",""เพชรบุรี!I164"")"),0)</f>
        <v>0</v>
      </c>
      <c r="J373" s="205">
        <f ca="1">IFERROR(__xludf.DUMMYFUNCTION("IMPORTRANGE(""https://docs.google.com/spreadsheets/d/1SX6NBoVAgQJ6U1MVXOaj8PK2l7WJ3RER9xtqwdhxkhw/edit?usp=sharing"",""เพชรบุรี!J164"")"),0)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IFERROR(__xludf.DUMMYFUNCTION("IMPORTRANGE(""https://docs.google.com/spreadsheets/d/1SX6NBoVAgQJ6U1MVXOaj8PK2l7WJ3RER9xtqwdhxkhw/edit?usp=sharing"",""เพชรบุรี!I164"")"),0)</f>
        <v>0</v>
      </c>
      <c r="J374" s="189">
        <f ca="1">IFERROR(__xludf.DUMMYFUNCTION("IMPORTRANGE(""https://docs.google.com/spreadsheets/d/1SX6NBoVAgQJ6U1MVXOaj8PK2l7WJ3RER9xtqwdhxkhw/edit?usp=sharing"",""เพชรบุรี!J164"")"),0)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IFERROR(__xludf.DUMMYFUNCTION("IMPORTRANGE(""https://docs.google.com/spreadsheets/d/1SX6NBoVAgQJ6U1MVXOaj8PK2l7WJ3RER9xtqwdhxkhw/edit?usp=sharing"",""เพชรบุรี!I270"")"),0)</f>
        <v>0</v>
      </c>
      <c r="J375" s="189">
        <f ca="1">IFERROR(__xludf.DUMMYFUNCTION("IMPORTRANGE(""https://docs.google.com/spreadsheets/d/1SX6NBoVAgQJ6U1MVXOaj8PK2l7WJ3RER9xtqwdhxkhw/edit?usp=sharing"",""เพชรบุรี!J270"")"),0)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IFERROR(__xludf.DUMMYFUNCTION("IMPORTRANGE(""https://docs.google.com/spreadsheets/d/1SX6NBoVAgQJ6U1MVXOaj8PK2l7WJ3RER9xtqwdhxkhw/edit?usp=sharing"",""เพชรบุรี!I271"")"),0)</f>
        <v>0</v>
      </c>
      <c r="J376" s="190">
        <f ca="1">IFERROR(__xludf.DUMMYFUNCTION("IMPORTRANGE(""https://docs.google.com/spreadsheets/d/1SX6NBoVAgQJ6U1MVXOaj8PK2l7WJ3RER9xtqwdhxkhw/edit?usp=sharing"",""เพชรบุรี!J271"")"),0)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IFERROR(__xludf.DUMMYFUNCTION("IMPORTRANGE(""https://docs.google.com/spreadsheets/d/1SX6NBoVAgQJ6U1MVXOaj8PK2l7WJ3RER9xtqwdhxkhw/edit?usp=sharing"",""เพชรบุรี!I272"")"),0)</f>
        <v>0</v>
      </c>
      <c r="J377" s="205">
        <f ca="1">IFERROR(__xludf.DUMMYFUNCTION("IMPORTRANGE(""https://docs.google.com/spreadsheets/d/1SX6NBoVAgQJ6U1MVXOaj8PK2l7WJ3RER9xtqwdhxkhw/edit?usp=sharing"",""เพชรบุรี!J272"")"),0)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IFERROR(__xludf.DUMMYFUNCTION("IMPORTRANGE(""https://docs.google.com/spreadsheets/d/1SX6NBoVAgQJ6U1MVXOaj8PK2l7WJ3RER9xtqwdhxkhw/edit?usp=sharing"",""เพชรบุรี!J273"")"),0)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IFERROR(__xludf.DUMMYFUNCTION("IMPORTRANGE(""https://docs.google.com/spreadsheets/d/1SX6NBoVAgQJ6U1MVXOaj8PK2l7WJ3RER9xtqwdhxkhw/edit?usp=sharing"",""เพชรบุรี!M275"")"),64860)</f>
        <v>64860</v>
      </c>
      <c r="O380" s="373">
        <f ca="1">+IF(L380&gt;0,N380*100/L380,0)</f>
        <v>31.248795529003662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IFERROR(__xludf.DUMMYFUNCTION("IMPORTRANGE(""https://docs.google.com/spreadsheets/d/1SX6NBoVAgQJ6U1MVXOaj8PK2l7WJ3RER9xtqwdhxkhw/edit?usp=sharing"",""เพชรบุรี!L277"")"),0)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IFERROR(__xludf.DUMMYFUNCTION("IMPORTRANGE(""https://docs.google.com/spreadsheets/d/1SX6NBoVAgQJ6U1MVXOaj8PK2l7WJ3RER9xtqwdhxkhw/edit?usp=sharing"",""เพชรบุรี!M277"")"),0)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IFERROR(__xludf.DUMMYFUNCTION("IMPORTRANGE(""https://docs.google.com/spreadsheets/d/1SX6NBoVAgQJ6U1MVXOaj8PK2l7WJ3RER9xtqwdhxkhw/edit?usp=sharing"",""เพชรบุรี!L278"")"),207560)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IFERROR(__xludf.DUMMYFUNCTION("IMPORTRANGE(""https://docs.google.com/spreadsheets/d/1SX6NBoVAgQJ6U1MVXOaj8PK2l7WJ3RER9xtqwdhxkhw/edit?usp=sharing"",""เพชรบุรี!M278"")"),64860)</f>
        <v>64860</v>
      </c>
      <c r="O383" s="167">
        <f t="shared" ca="1" si="109"/>
        <v>31.248795529003662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IFERROR(__xludf.DUMMYFUNCTION("IMPORTRANGE(""https://docs.google.com/spreadsheets/d/1SX6NBoVAgQJ6U1MVXOaj8PK2l7WJ3RER9xtqwdhxkhw/edit?usp=sharing"",""เพชรบุรี!L279"")"),0)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IFERROR(__xludf.DUMMYFUNCTION("IMPORTRANGE(""https://docs.google.com/spreadsheets/d/1SX6NBoVAgQJ6U1MVXOaj8PK2l7WJ3RER9xtqwdhxkhw/edit?usp=sharing"",""เพชรบุรี!M279"")"),0)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IFERROR(__xludf.DUMMYFUNCTION("IMPORTRANGE(""https://docs.google.com/spreadsheets/d/1SX6NBoVAgQJ6U1MVXOaj8PK2l7WJ3RER9xtqwdhxkhw/edit?usp=sharing"",""เพชรบุรี!L280"")"),207560)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IFERROR(__xludf.DUMMYFUNCTION("IMPORTRANGE(""https://docs.google.com/spreadsheets/d/1SX6NBoVAgQJ6U1MVXOaj8PK2l7WJ3RER9xtqwdhxkhw/edit?usp=sharing"",""เพชรบุรี!M280"")"),64860)</f>
        <v>64860</v>
      </c>
      <c r="O385" s="170">
        <f t="shared" ca="1" si="109"/>
        <v>31.248795529003662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IFERROR(__xludf.DUMMYFUNCTION("IMPORTRANGE(""https://docs.google.com/spreadsheets/d/1SX6NBoVAgQJ6U1MVXOaj8PK2l7WJ3RER9xtqwdhxkhw/edit?usp=sharing"",""เพชรบุรี!M281"")"),64860)</f>
        <v>64860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IFERROR(__xludf.DUMMYFUNCTION("IMPORTRANGE(""https://docs.google.com/spreadsheets/d/1SX6NBoVAgQJ6U1MVXOaj8PK2l7WJ3RER9xtqwdhxkhw/edit?usp=sharing"",""เพชรบุรี!M282"")"),0)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IFERROR(__xludf.DUMMYFUNCTION("IMPORTRANGE(""https://docs.google.com/spreadsheets/d/1SX6NBoVAgQJ6U1MVXOaj8PK2l7WJ3RER9xtqwdhxkhw/edit?usp=sharing"",""เพชรบุรี!M284"")"),0)</f>
        <v>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IFERROR(__xludf.DUMMYFUNCTION("IMPORTRANGE(""https://docs.google.com/spreadsheets/d/1SX6NBoVAgQJ6U1MVXOaj8PK2l7WJ3RER9xtqwdhxkhw/edit?usp=sharing"",""เพชรบุรี!J286"")"),0)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IFERROR(__xludf.DUMMYFUNCTION("IMPORTRANGE(""https://docs.google.com/spreadsheets/d/1SX6NBoVAgQJ6U1MVXOaj8PK2l7WJ3RER9xtqwdhxkhw/edit?usp=sharing"",""เพชรบุรี!J287"")"),1)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IFERROR(__xludf.DUMMYFUNCTION("IMPORTRANGE(""https://docs.google.com/spreadsheets/d/1SX6NBoVAgQJ6U1MVXOaj8PK2l7WJ3RER9xtqwdhxkhw/edit?usp=sharing"",""เพชรบุรี!J288"")"),1)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IFERROR(__xludf.DUMMYFUNCTION("IMPORTRANGE(""https://docs.google.com/spreadsheets/d/1SX6NBoVAgQJ6U1MVXOaj8PK2l7WJ3RER9xtqwdhxkhw/edit?usp=sharing"",""เพชรบุรี!J289"")"),1)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IFERROR(__xludf.DUMMYFUNCTION("IMPORTRANGE(""https://docs.google.com/spreadsheets/d/1SX6NBoVAgQJ6U1MVXOaj8PK2l7WJ3RER9xtqwdhxkhw/edit?usp=sharing"",""เพชรบุรี!I291"")"),20)</f>
        <v>20</v>
      </c>
      <c r="J396" s="199">
        <f ca="1">IFERROR(__xludf.DUMMYFUNCTION("IMPORTRANGE(""https://docs.google.com/spreadsheets/d/1SX6NBoVAgQJ6U1MVXOaj8PK2l7WJ3RER9xtqwdhxkhw/edit?usp=sharing"",""เพชรบุรี!J291"")"),20)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IFERROR(__xludf.DUMMYFUNCTION("IMPORTRANGE(""https://docs.google.com/spreadsheets/d/1SX6NBoVAgQJ6U1MVXOaj8PK2l7WJ3RER9xtqwdhxkhw/edit?usp=sharing"",""เพชรบุรี!I292"")"),200)</f>
        <v>200</v>
      </c>
      <c r="J397" s="199">
        <f ca="1">IFERROR(__xludf.DUMMYFUNCTION("IMPORTRANGE(""https://docs.google.com/spreadsheets/d/1SX6NBoVAgQJ6U1MVXOaj8PK2l7WJ3RER9xtqwdhxkhw/edit?usp=sharing"",""เพชรบุรี!J292"")"),0)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IFERROR(__xludf.DUMMYFUNCTION("IMPORTRANGE(""https://docs.google.com/spreadsheets/d/1SX6NBoVAgQJ6U1MVXOaj8PK2l7WJ3RER9xtqwdhxkhw/edit?usp=sharing"",""เพชรบุรี!I293"")"),20)</f>
        <v>20</v>
      </c>
      <c r="J398" s="199">
        <f ca="1">IFERROR(__xludf.DUMMYFUNCTION("IMPORTRANGE(""https://docs.google.com/spreadsheets/d/1SX6NBoVAgQJ6U1MVXOaj8PK2l7WJ3RER9xtqwdhxkhw/edit?usp=sharing"",""เพชรบุรี!J293"")"),0)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IFERROR(__xludf.DUMMYFUNCTION("IMPORTRANGE(""https://docs.google.com/spreadsheets/d/1SX6NBoVAgQJ6U1MVXOaj8PK2l7WJ3RER9xtqwdhxkhw/edit?usp=sharing"",""เพชรบุรี!J294"")"),0)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IFERROR(__xludf.DUMMYFUNCTION("IMPORTRANGE(""https://docs.google.com/spreadsheets/d/1SX6NBoVAgQJ6U1MVXOaj8PK2l7WJ3RER9xtqwdhxkhw/edit?usp=sharing"",""เพชรบุรี!J295"")"),0)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IFERROR(__xludf.DUMMYFUNCTION("IMPORTRANGE(""https://docs.google.com/spreadsheets/d/1SX6NBoVAgQJ6U1MVXOaj8PK2l7WJ3RER9xtqwdhxkhw/edit?usp=sharing"",""เพชรบุรี!J296"")"),33)</f>
        <v>33</v>
      </c>
      <c r="K401" s="372">
        <f t="shared" ref="K401:K402" ca="1" si="111">IF(I401&gt;0,J401*100/I401,0)</f>
        <v>18.333333333333332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IFERROR(__xludf.DUMMYFUNCTION("IMPORTRANGE(""https://docs.google.com/spreadsheets/d/1SX6NBoVAgQJ6U1MVXOaj8PK2l7WJ3RER9xtqwdhxkhw/edit?usp=sharing"",""เพชรบุรี!M296"")"),72740)</f>
        <v>72740</v>
      </c>
      <c r="O401" s="373">
        <f ca="1">+IF(L401&gt;0,N401*100/L401,0)</f>
        <v>35.140096618357489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IFERROR(__xludf.DUMMYFUNCTION("IMPORTRANGE(""https://docs.google.com/spreadsheets/d/1SX6NBoVAgQJ6U1MVXOaj8PK2l7WJ3RER9xtqwdhxkhw/edit?usp=sharing"",""เพชรบุรี!J297"")"),11)</f>
        <v>11</v>
      </c>
      <c r="K402" s="372">
        <f t="shared" ca="1" si="111"/>
        <v>18.333333333333332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IFERROR(__xludf.DUMMYFUNCTION("IMPORTRANGE(""https://docs.google.com/spreadsheets/d/1SX6NBoVAgQJ6U1MVXOaj8PK2l7WJ3RER9xtqwdhxkhw/edit?usp=sharing"",""เพชรบุรี!L298"")"),0)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IFERROR(__xludf.DUMMYFUNCTION("IMPORTRANGE(""https://docs.google.com/spreadsheets/d/1SX6NBoVAgQJ6U1MVXOaj8PK2l7WJ3RER9xtqwdhxkhw/edit?usp=sharing"",""เพชรบุรี!M298"")"),0)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IFERROR(__xludf.DUMMYFUNCTION("IMPORTRANGE(""https://docs.google.com/spreadsheets/d/1SX6NBoVAgQJ6U1MVXOaj8PK2l7WJ3RER9xtqwdhxkhw/edit?usp=sharing"",""เพชรบุรี!L299"")"),207000)</f>
        <v>207000</v>
      </c>
      <c r="M404" s="167"/>
      <c r="N404" s="170">
        <f ca="1">IFERROR(__xludf.DUMMYFUNCTION("IMPORTRANGE(""https://docs.google.com/spreadsheets/d/1SX6NBoVAgQJ6U1MVXOaj8PK2l7WJ3RER9xtqwdhxkhw/edit?usp=sharing"",""เพชรบุรี!M299"")"),72740)</f>
        <v>72740</v>
      </c>
      <c r="O404" s="170">
        <f t="shared" ca="1" si="112"/>
        <v>35.140096618357489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IFERROR(__xludf.DUMMYFUNCTION("IMPORTRANGE(""https://docs.google.com/spreadsheets/d/1SX6NBoVAgQJ6U1MVXOaj8PK2l7WJ3RER9xtqwdhxkhw/edit?usp=sharing"",""เพชรบุรี!L300"")"),0)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IFERROR(__xludf.DUMMYFUNCTION("IMPORTRANGE(""https://docs.google.com/spreadsheets/d/1SX6NBoVAgQJ6U1MVXOaj8PK2l7WJ3RER9xtqwdhxkhw/edit?usp=sharing"",""เพชรบุรี!M300"")"),0)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IFERROR(__xludf.DUMMYFUNCTION("IMPORTRANGE(""https://docs.google.com/spreadsheets/d/1SX6NBoVAgQJ6U1MVXOaj8PK2l7WJ3RER9xtqwdhxkhw/edit?usp=sharing"",""เพชรบุรี!L301"")"),207000)</f>
        <v>207000</v>
      </c>
      <c r="M406" s="170"/>
      <c r="N406" s="170">
        <f ca="1">IFERROR(__xludf.DUMMYFUNCTION("IMPORTRANGE(""https://docs.google.com/spreadsheets/d/1SX6NBoVAgQJ6U1MVXOaj8PK2l7WJ3RER9xtqwdhxkhw/edit?usp=sharing"",""เพชรบุรี!M301"")"),72740)</f>
        <v>72740</v>
      </c>
      <c r="O406" s="170">
        <f t="shared" ca="1" si="112"/>
        <v>35.140096618357489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IFERROR(__xludf.DUMMYFUNCTION("IMPORTRANGE(""https://docs.google.com/spreadsheets/d/1SX6NBoVAgQJ6U1MVXOaj8PK2l7WJ3RER9xtqwdhxkhw/edit?usp=sharing"",""เพชรบุรี!M302"")"),72740)</f>
        <v>72740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IFERROR(__xludf.DUMMYFUNCTION("IMPORTRANGE(""https://docs.google.com/spreadsheets/d/1SX6NBoVAgQJ6U1MVXOaj8PK2l7WJ3RER9xtqwdhxkhw/edit?usp=sharing"",""เพชรบุรี!M303"")"),0)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IFERROR(__xludf.DUMMYFUNCTION("IMPORTRANGE(""https://docs.google.com/spreadsheets/d/1SX6NBoVAgQJ6U1MVXOaj8PK2l7WJ3RER9xtqwdhxkhw/edit?usp=sharing"",""เพชรบุรี!M305"")"),0)</f>
        <v>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IFERROR(__xludf.DUMMYFUNCTION("IMPORTRANGE(""https://docs.google.com/spreadsheets/d/1SX6NBoVAgQJ6U1MVXOaj8PK2l7WJ3RER9xtqwdhxkhw/edit?usp=sharing"",""เพชรบุรี!J307"")"),0)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IFERROR(__xludf.DUMMYFUNCTION("IMPORTRANGE(""https://docs.google.com/spreadsheets/d/1SX6NBoVAgQJ6U1MVXOaj8PK2l7WJ3RER9xtqwdhxkhw/edit?usp=sharing"",""เพชรบุรี!J308"")"),0)</f>
        <v>0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IFERROR(__xludf.DUMMYFUNCTION("IMPORTRANGE(""https://docs.google.com/spreadsheets/d/1SX6NBoVAgQJ6U1MVXOaj8PK2l7WJ3RER9xtqwdhxkhw/edit?usp=sharing"",""เพชรบุรี!J309"")"),0)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IFERROR(__xludf.DUMMYFUNCTION("IMPORTRANGE(""https://docs.google.com/spreadsheets/d/1SX6NBoVAgQJ6U1MVXOaj8PK2l7WJ3RER9xtqwdhxkhw/edit?usp=sharing"",""เพชรบุรี!J310"")"),0)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IFERROR(__xludf.DUMMYFUNCTION("IMPORTRANGE(""https://docs.google.com/spreadsheets/d/1SX6NBoVAgQJ6U1MVXOaj8PK2l7WJ3RER9xtqwdhxkhw/edit?usp=sharing"",""เพชรบุรี!I311"")"),60)</f>
        <v>60</v>
      </c>
      <c r="J416" s="202">
        <f ca="1">IFERROR(__xludf.DUMMYFUNCTION("IMPORTRANGE(""https://docs.google.com/spreadsheets/d/1SX6NBoVAgQJ6U1MVXOaj8PK2l7WJ3RER9xtqwdhxkhw/edit?usp=sharing"",""เพชรบุรี!J311"")"),11)</f>
        <v>11</v>
      </c>
      <c r="K416" s="203">
        <f t="shared" ref="K416:K432" ca="1" si="113">IF(I416&gt;0,J416*100/I416,0)</f>
        <v>18.333333333333332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IFERROR(__xludf.DUMMYFUNCTION("IMPORTRANGE(""https://docs.google.com/spreadsheets/d/1SX6NBoVAgQJ6U1MVXOaj8PK2l7WJ3RER9xtqwdhxkhw/edit?usp=sharing"",""เพชรบุรี!J328"")"),0)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IFERROR(__xludf.DUMMYFUNCTION("IMPORTRANGE(""https://docs.google.com/spreadsheets/d/1SX6NBoVAgQJ6U1MVXOaj8PK2l7WJ3RER9xtqwdhxkhw/edit?usp=sharing"",""เพชรบุรี!J329"")"),0)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IFERROR(__xludf.DUMMYFUNCTION("IMPORTRANGE(""https://docs.google.com/spreadsheets/d/1SX6NBoVAgQJ6U1MVXOaj8PK2l7WJ3RER9xtqwdhxkhw/edit?usp=sharing"",""เพชรบุรี!M330"")"),6840)</f>
        <v>6840</v>
      </c>
      <c r="O435" s="412">
        <f t="shared" ref="O435:O439" ca="1" si="114">+IF(L435&gt;0,N435*100/L435,0)</f>
        <v>4.1105769230769234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IFERROR(__xludf.DUMMYFUNCTION("IMPORTRANGE(""https://docs.google.com/spreadsheets/d/1SX6NBoVAgQJ6U1MVXOaj8PK2l7WJ3RER9xtqwdhxkhw/edit?usp=sharing"",""เพชรบุรี!L331"")"),0)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IFERROR(__xludf.DUMMYFUNCTION("IMPORTRANGE(""https://docs.google.com/spreadsheets/d/1SX6NBoVAgQJ6U1MVXOaj8PK2l7WJ3RER9xtqwdhxkhw/edit?usp=sharing"",""เพชรบุรี!M331"")"),0)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IFERROR(__xludf.DUMMYFUNCTION("IMPORTRANGE(""https://docs.google.com/spreadsheets/d/1SX6NBoVAgQJ6U1MVXOaj8PK2l7WJ3RER9xtqwdhxkhw/edit?usp=sharing"",""เพชรบุรี!L332"")"),166400)</f>
        <v>166400</v>
      </c>
      <c r="M437" s="167"/>
      <c r="N437" s="170">
        <f ca="1">IFERROR(__xludf.DUMMYFUNCTION("IMPORTRANGE(""https://docs.google.com/spreadsheets/d/1SX6NBoVAgQJ6U1MVXOaj8PK2l7WJ3RER9xtqwdhxkhw/edit?usp=sharing"",""เพชรบุรี!M332"")"),6840)</f>
        <v>6840</v>
      </c>
      <c r="O437" s="170">
        <f t="shared" ca="1" si="114"/>
        <v>4.1105769230769234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IFERROR(__xludf.DUMMYFUNCTION("IMPORTRANGE(""https://docs.google.com/spreadsheets/d/1SX6NBoVAgQJ6U1MVXOaj8PK2l7WJ3RER9xtqwdhxkhw/edit?usp=sharing"",""เพชรบุรี!L333"")"),0)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IFERROR(__xludf.DUMMYFUNCTION("IMPORTRANGE(""https://docs.google.com/spreadsheets/d/1SX6NBoVAgQJ6U1MVXOaj8PK2l7WJ3RER9xtqwdhxkhw/edit?usp=sharing"",""เพชรบุรี!M333"")"),0)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IFERROR(__xludf.DUMMYFUNCTION("IMPORTRANGE(""https://docs.google.com/spreadsheets/d/1SX6NBoVAgQJ6U1MVXOaj8PK2l7WJ3RER9xtqwdhxkhw/edit?usp=sharing"",""เพชรบุรี!L334"")"),166400)</f>
        <v>166400</v>
      </c>
      <c r="M439" s="170"/>
      <c r="N439" s="170">
        <f ca="1">IFERROR(__xludf.DUMMYFUNCTION("IMPORTRANGE(""https://docs.google.com/spreadsheets/d/1SX6NBoVAgQJ6U1MVXOaj8PK2l7WJ3RER9xtqwdhxkhw/edit?usp=sharing"",""เพชรบุรี!M334"")"),6840)</f>
        <v>6840</v>
      </c>
      <c r="O439" s="170">
        <f t="shared" ca="1" si="114"/>
        <v>4.1105769230769234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IFERROR(__xludf.DUMMYFUNCTION("IMPORTRANGE(""https://docs.google.com/spreadsheets/d/1SX6NBoVAgQJ6U1MVXOaj8PK2l7WJ3RER9xtqwdhxkhw/edit?usp=sharing"",""เพชรบุรี!M335"")"),5000)</f>
        <v>5000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IFERROR(__xludf.DUMMYFUNCTION("IMPORTRANGE(""https://docs.google.com/spreadsheets/d/1SX6NBoVAgQJ6U1MVXOaj8PK2l7WJ3RER9xtqwdhxkhw/edit?usp=sharing"",""เพชรบุรี!M338"")"),1840)</f>
        <v>1840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IFERROR(__xludf.DUMMYFUNCTION("IMPORTRANGE(""https://docs.google.com/spreadsheets/d/1SX6NBoVAgQJ6U1MVXOaj8PK2l7WJ3RER9xtqwdhxkhw/edit?usp=sharing"",""เพชรบุรี!J342"")"),1)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IFERROR(__xludf.DUMMYFUNCTION("IMPORTRANGE(""https://docs.google.com/spreadsheets/d/1SX6NBoVAgQJ6U1MVXOaj8PK2l7WJ3RER9xtqwdhxkhw/edit?usp=sharing"",""เพชรบุรี!J343"")"),1)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2">
        <f ca="1">IFERROR(__xludf.DUMMYFUNCTION("IMPORTRANGE(""https://docs.google.com/spreadsheets/d/1SX6NBoVAgQJ6U1MVXOaj8PK2l7WJ3RER9xtqwdhxkhw/edit?usp=sharing"",""เพชรบุรี!J344"")"),0)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IFERROR(__xludf.DUMMYFUNCTION("IMPORTRANGE(""https://docs.google.com/spreadsheets/d/1SX6NBoVAgQJ6U1MVXOaj8PK2l7WJ3RER9xtqwdhxkhw/edit?usp=sharing"",""เพชรบุรี!I345"")"),50)</f>
        <v>50</v>
      </c>
      <c r="J450" s="190">
        <f ca="1">IFERROR(__xludf.DUMMYFUNCTION("IMPORTRANGE(""https://docs.google.com/spreadsheets/d/1SX6NBoVAgQJ6U1MVXOaj8PK2l7WJ3RER9xtqwdhxkhw/edit?usp=sharing"",""เพชรบุรี!J345"")"),0)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IFERROR(__xludf.DUMMYFUNCTION("IMPORTRANGE(""https://docs.google.com/spreadsheets/d/1SX6NBoVAgQJ6U1MVXOaj8PK2l7WJ3RER9xtqwdhxkhw/edit?usp=sharing"",""เพชรบุรี!I346"")"),0)</f>
        <v>0</v>
      </c>
      <c r="J451" s="189">
        <f ca="1">IFERROR(__xludf.DUMMYFUNCTION("IMPORTRANGE(""https://docs.google.com/spreadsheets/d/1SX6NBoVAgQJ6U1MVXOaj8PK2l7WJ3RER9xtqwdhxkhw/edit?usp=sharing"",""เพชรบุรี!J346"")"),0)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IFERROR(__xludf.DUMMYFUNCTION("IMPORTRANGE(""https://docs.google.com/spreadsheets/d/1SX6NBoVAgQJ6U1MVXOaj8PK2l7WJ3RER9xtqwdhxkhw/edit?usp=sharing"",""เพชรบุรี!I347"")"),0)</f>
        <v>0</v>
      </c>
      <c r="J452" s="189">
        <f ca="1">IFERROR(__xludf.DUMMYFUNCTION("IMPORTRANGE(""https://docs.google.com/spreadsheets/d/1SX6NBoVAgQJ6U1MVXOaj8PK2l7WJ3RER9xtqwdhxkhw/edit?usp=sharing"",""เพชรบุรี!J347"")"),0)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IFERROR(__xludf.DUMMYFUNCTION("IMPORTRANGE(""https://docs.google.com/spreadsheets/d/1SX6NBoVAgQJ6U1MVXOaj8PK2l7WJ3RER9xtqwdhxkhw/edit?usp=sharing"",""เพชรบุรี!J348"")"),0)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IFERROR(__xludf.DUMMYFUNCTION("IMPORTRANGE(""https://docs.google.com/spreadsheets/d/1SX6NBoVAgQJ6U1MVXOaj8PK2l7WJ3RER9xtqwdhxkhw/edit?usp=sharing"",""เพชรบุรี!J349"")"),0)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IFERROR(__xludf.DUMMYFUNCTION("IMPORTRANGE(""https://docs.google.com/spreadsheets/d/1SX6NBoVAgQJ6U1MVXOaj8PK2l7WJ3RER9xtqwdhxkhw/edit?usp=sharing"",""เพชรบุรี!J350"")"),2169)</f>
        <v>2169</v>
      </c>
      <c r="K455" s="372">
        <f ca="1">IF(I455&gt;0,J455*100/I455,0)</f>
        <v>91.945739720220431</v>
      </c>
      <c r="L455" s="373">
        <f ca="1">IFERROR(__xludf.DUMMYFUNCTION("IMPORTRANGE(""https://docs.google.com/spreadsheets/d/1SX6NBoVAgQJ6U1MVXOaj8PK2l7WJ3RER9xtqwdhxkhw/edit?usp=sharing"",""เพชรบุรี!L350"")"),95347)</f>
        <v>95347</v>
      </c>
      <c r="M455" s="373"/>
      <c r="N455" s="373">
        <f ca="1">IFERROR(__xludf.DUMMYFUNCTION("IMPORTRANGE(""https://docs.google.com/spreadsheets/d/1SX6NBoVAgQJ6U1MVXOaj8PK2l7WJ3RER9xtqwdhxkhw/edit?usp=sharing"",""เพชรบุรี!M350"")"),31575)</f>
        <v>31575</v>
      </c>
      <c r="O455" s="373">
        <f t="shared" ref="O455:O459" ca="1" si="116">+IF(L455&gt;0,N455*100/L455,0)</f>
        <v>33.115881988945638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IFERROR(__xludf.DUMMYFUNCTION("IMPORTRANGE(""https://docs.google.com/spreadsheets/d/1SX6NBoVAgQJ6U1MVXOaj8PK2l7WJ3RER9xtqwdhxkhw/edit?usp=sharing"",""เพชรบุรี!L351"")"),0)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IFERROR(__xludf.DUMMYFUNCTION("IMPORTRANGE(""https://docs.google.com/spreadsheets/d/1SX6NBoVAgQJ6U1MVXOaj8PK2l7WJ3RER9xtqwdhxkhw/edit?usp=sharing"",""เพชรบุรี!M351"")"),0)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IFERROR(__xludf.DUMMYFUNCTION("IMPORTRANGE(""https://docs.google.com/spreadsheets/d/1SX6NBoVAgQJ6U1MVXOaj8PK2l7WJ3RER9xtqwdhxkhw/edit?usp=sharing"",""เพชรบุรี!L352"")"),95347)</f>
        <v>95347</v>
      </c>
      <c r="M457" s="167"/>
      <c r="N457" s="170">
        <f ca="1">IFERROR(__xludf.DUMMYFUNCTION("IMPORTRANGE(""https://docs.google.com/spreadsheets/d/1SX6NBoVAgQJ6U1MVXOaj8PK2l7WJ3RER9xtqwdhxkhw/edit?usp=sharing"",""เพชรบุรี!M352"")"),31575)</f>
        <v>31575</v>
      </c>
      <c r="O457" s="170">
        <f t="shared" ca="1" si="116"/>
        <v>33.115881988945638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IFERROR(__xludf.DUMMYFUNCTION("IMPORTRANGE(""https://docs.google.com/spreadsheets/d/1SX6NBoVAgQJ6U1MVXOaj8PK2l7WJ3RER9xtqwdhxkhw/edit?usp=sharing"",""เพชรบุรี!L353"")"),0)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IFERROR(__xludf.DUMMYFUNCTION("IMPORTRANGE(""https://docs.google.com/spreadsheets/d/1SX6NBoVAgQJ6U1MVXOaj8PK2l7WJ3RER9xtqwdhxkhw/edit?usp=sharing"",""เพชรบุรี!M353"")"),0)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IFERROR(__xludf.DUMMYFUNCTION("IMPORTRANGE(""https://docs.google.com/spreadsheets/d/1SX6NBoVAgQJ6U1MVXOaj8PK2l7WJ3RER9xtqwdhxkhw/edit?usp=sharing"",""เพชรบุรี!L354"")"),95347)</f>
        <v>95347</v>
      </c>
      <c r="M459" s="170"/>
      <c r="N459" s="170">
        <f ca="1">IFERROR(__xludf.DUMMYFUNCTION("IMPORTRANGE(""https://docs.google.com/spreadsheets/d/1SX6NBoVAgQJ6U1MVXOaj8PK2l7WJ3RER9xtqwdhxkhw/edit?usp=sharing"",""เพชรบุรี!M354"")"),31575)</f>
        <v>31575</v>
      </c>
      <c r="O459" s="170">
        <f t="shared" ca="1" si="116"/>
        <v>33.115881988945638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IFERROR(__xludf.DUMMYFUNCTION("IMPORTRANGE(""https://docs.google.com/spreadsheets/d/1SX6NBoVAgQJ6U1MVXOaj8PK2l7WJ3RER9xtqwdhxkhw/edit?usp=sharing"",""เพชรบุรี!M355"")"),0)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IFERROR(__xludf.DUMMYFUNCTION("IMPORTRANGE(""https://docs.google.com/spreadsheets/d/1SX6NBoVAgQJ6U1MVXOaj8PK2l7WJ3RER9xtqwdhxkhw/edit?usp=sharing"",""เพชรบุรี!M356"")"),0)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IFERROR(__xludf.DUMMYFUNCTION("IMPORTRANGE(""https://docs.google.com/spreadsheets/d/1SX6NBoVAgQJ6U1MVXOaj8PK2l7WJ3RER9xtqwdhxkhw/edit?usp=sharing"",""เพชรบุรี!M358"")"),31575)</f>
        <v>31575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IFERROR(__xludf.DUMMYFUNCTION("IMPORTRANGE(""https://docs.google.com/spreadsheets/d/1SX6NBoVAgQJ6U1MVXOaj8PK2l7WJ3RER9xtqwdhxkhw/edit?usp=sharing"",""เพชรบุรี!J359"")"),2169)</f>
        <v>2169</v>
      </c>
      <c r="K464" s="269">
        <f t="shared" ref="K464:K515" ca="1" si="117">IF(I464&gt;0,J464*100/I464,0)</f>
        <v>91.945739720220431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IFERROR(__xludf.DUMMYFUNCTION("IMPORTRANGE(""https://docs.google.com/spreadsheets/d/1SX6NBoVAgQJ6U1MVXOaj8PK2l7WJ3RER9xtqwdhxkhw/edit?usp=sharing"",""เพชรบุรี!J360"")"),2358)</f>
        <v>2358</v>
      </c>
      <c r="K465" s="203">
        <f t="shared" ca="1" si="117"/>
        <v>99.957609156422208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IFERROR(__xludf.DUMMYFUNCTION("IMPORTRANGE(""https://docs.google.com/spreadsheets/d/1SX6NBoVAgQJ6U1MVXOaj8PK2l7WJ3RER9xtqwdhxkhw/edit?usp=sharing"",""เพชรบุรี!I362"")"),0)</f>
        <v>0</v>
      </c>
      <c r="J467" s="190">
        <f ca="1">IFERROR(__xludf.DUMMYFUNCTION("IMPORTRANGE(""https://docs.google.com/spreadsheets/d/1SX6NBoVAgQJ6U1MVXOaj8PK2l7WJ3RER9xtqwdhxkhw/edit?usp=sharing"",""เพชรบุรี!J362"")"),2042)</f>
        <v>2042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IFERROR(__xludf.DUMMYFUNCTION("IMPORTRANGE(""https://docs.google.com/spreadsheets/d/1SX6NBoVAgQJ6U1MVXOaj8PK2l7WJ3RER9xtqwdhxkhw/edit?usp=sharing"",""เพชรบุรี!I363"")"),0)</f>
        <v>0</v>
      </c>
      <c r="J468" s="190">
        <f ca="1">IFERROR(__xludf.DUMMYFUNCTION("IMPORTRANGE(""https://docs.google.com/spreadsheets/d/1SX6NBoVAgQJ6U1MVXOaj8PK2l7WJ3RER9xtqwdhxkhw/edit?usp=sharing"",""เพชรบุรี!J363"")"),271)</f>
        <v>271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IFERROR(__xludf.DUMMYFUNCTION("IMPORTRANGE(""https://docs.google.com/spreadsheets/d/1SX6NBoVAgQJ6U1MVXOaj8PK2l7WJ3RER9xtqwdhxkhw/edit?usp=sharing"",""เพชรบุรี!I364"")"),0)</f>
        <v>0</v>
      </c>
      <c r="J469" s="190">
        <f ca="1">IFERROR(__xludf.DUMMYFUNCTION("IMPORTRANGE(""https://docs.google.com/spreadsheets/d/1SX6NBoVAgQJ6U1MVXOaj8PK2l7WJ3RER9xtqwdhxkhw/edit?usp=sharing"",""เพชรบุรี!J364"")"),305)</f>
        <v>305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IFERROR(__xludf.DUMMYFUNCTION("IMPORTRANGE(""https://docs.google.com/spreadsheets/d/1SX6NBoVAgQJ6U1MVXOaj8PK2l7WJ3RER9xtqwdhxkhw/edit?usp=sharing"",""เพชรบุรี!I365"")"),0)</f>
        <v>0</v>
      </c>
      <c r="J470" s="190">
        <f ca="1">IFERROR(__xludf.DUMMYFUNCTION("IMPORTRANGE(""https://docs.google.com/spreadsheets/d/1SX6NBoVAgQJ6U1MVXOaj8PK2l7WJ3RER9xtqwdhxkhw/edit?usp=sharing"",""เพชรบุรี!J365"")"),38)</f>
        <v>38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IFERROR(__xludf.DUMMYFUNCTION("IMPORTRANGE(""https://docs.google.com/spreadsheets/d/1SX6NBoVAgQJ6U1MVXOaj8PK2l7WJ3RER9xtqwdhxkhw/edit?usp=sharing"",""เพชรบุรี!I366"")"),0)</f>
        <v>0</v>
      </c>
      <c r="J471" s="190">
        <f ca="1">IFERROR(__xludf.DUMMYFUNCTION("IMPORTRANGE(""https://docs.google.com/spreadsheets/d/1SX6NBoVAgQJ6U1MVXOaj8PK2l7WJ3RER9xtqwdhxkhw/edit?usp=sharing"",""เพชรบุรี!J366"")"),11)</f>
        <v>11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IFERROR(__xludf.DUMMYFUNCTION("IMPORTRANGE(""https://docs.google.com/spreadsheets/d/1SX6NBoVAgQJ6U1MVXOaj8PK2l7WJ3RER9xtqwdhxkhw/edit?usp=sharing"",""เพชรบุรี!I367"")"),0)</f>
        <v>0</v>
      </c>
      <c r="J472" s="190">
        <f ca="1">IFERROR(__xludf.DUMMYFUNCTION("IMPORTRANGE(""https://docs.google.com/spreadsheets/d/1SX6NBoVAgQJ6U1MVXOaj8PK2l7WJ3RER9xtqwdhxkhw/edit?usp=sharing"",""เพชรบุรี!J367"")"),2)</f>
        <v>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3">
        <f t="shared" ca="1" si="117"/>
        <v>100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IFERROR(__xludf.DUMMYFUNCTION("IMPORTRANGE(""https://docs.google.com/spreadsheets/d/1SX6NBoVAgQJ6U1MVXOaj8PK2l7WJ3RER9xtqwdhxkhw/edit?usp=sharing"",""เพชรบุรี!I370"")"),0)</f>
        <v>0</v>
      </c>
      <c r="J475" s="190">
        <f ca="1">IFERROR(__xludf.DUMMYFUNCTION("IMPORTRANGE(""https://docs.google.com/spreadsheets/d/1SX6NBoVAgQJ6U1MVXOaj8PK2l7WJ3RER9xtqwdhxkhw/edit?usp=sharing"",""เพชรบุรี!J370"")"),2043)</f>
        <v>2043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IFERROR(__xludf.DUMMYFUNCTION("IMPORTRANGE(""https://docs.google.com/spreadsheets/d/1SX6NBoVAgQJ6U1MVXOaj8PK2l7WJ3RER9xtqwdhxkhw/edit?usp=sharing"",""เพชรบุรี!I371"")"),0)</f>
        <v>0</v>
      </c>
      <c r="J476" s="190">
        <f ca="1">IFERROR(__xludf.DUMMYFUNCTION("IMPORTRANGE(""https://docs.google.com/spreadsheets/d/1SX6NBoVAgQJ6U1MVXOaj8PK2l7WJ3RER9xtqwdhxkhw/edit?usp=sharing"",""เพชรบุรี!J371"")"),272)</f>
        <v>272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IFERROR(__xludf.DUMMYFUNCTION("IMPORTRANGE(""https://docs.google.com/spreadsheets/d/1SX6NBoVAgQJ6U1MVXOaj8PK2l7WJ3RER9xtqwdhxkhw/edit?usp=sharing"",""เพชรบุรี!I372"")"),0)</f>
        <v>0</v>
      </c>
      <c r="J477" s="190">
        <f ca="1">IFERROR(__xludf.DUMMYFUNCTION("IMPORTRANGE(""https://docs.google.com/spreadsheets/d/1SX6NBoVAgQJ6U1MVXOaj8PK2l7WJ3RER9xtqwdhxkhw/edit?usp=sharing"",""เพชรบุรี!J372"")"),305)</f>
        <v>305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IFERROR(__xludf.DUMMYFUNCTION("IMPORTRANGE(""https://docs.google.com/spreadsheets/d/1SX6NBoVAgQJ6U1MVXOaj8PK2l7WJ3RER9xtqwdhxkhw/edit?usp=sharing"",""เพชรบุรี!I373"")"),0)</f>
        <v>0</v>
      </c>
      <c r="J478" s="190">
        <f ca="1">IFERROR(__xludf.DUMMYFUNCTION("IMPORTRANGE(""https://docs.google.com/spreadsheets/d/1SX6NBoVAgQJ6U1MVXOaj8PK2l7WJ3RER9xtqwdhxkhw/edit?usp=sharing"",""เพชรบุรี!J373"")"),37)</f>
        <v>37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IFERROR(__xludf.DUMMYFUNCTION("IMPORTRANGE(""https://docs.google.com/spreadsheets/d/1SX6NBoVAgQJ6U1MVXOaj8PK2l7WJ3RER9xtqwdhxkhw/edit?usp=sharing"",""เพชรบุรี!I374"")"),0)</f>
        <v>0</v>
      </c>
      <c r="J479" s="190">
        <f ca="1">IFERROR(__xludf.DUMMYFUNCTION("IMPORTRANGE(""https://docs.google.com/spreadsheets/d/1SX6NBoVAgQJ6U1MVXOaj8PK2l7WJ3RER9xtqwdhxkhw/edit?usp=sharing"",""เพชรบุรี!J374"")"),11)</f>
        <v>11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IFERROR(__xludf.DUMMYFUNCTION("IMPORTRANGE(""https://docs.google.com/spreadsheets/d/1SX6NBoVAgQJ6U1MVXOaj8PK2l7WJ3RER9xtqwdhxkhw/edit?usp=sharing"",""เพชรบุรี!I375"")"),0)</f>
        <v>0</v>
      </c>
      <c r="J480" s="190">
        <f ca="1">IFERROR(__xludf.DUMMYFUNCTION("IMPORTRANGE(""https://docs.google.com/spreadsheets/d/1SX6NBoVAgQJ6U1MVXOaj8PK2l7WJ3RER9xtqwdhxkhw/edit?usp=sharing"",""เพชรบุรี!J375"")"),2)</f>
        <v>2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IFERROR(__xludf.DUMMYFUNCTION("IMPORTRANGE(""https://docs.google.com/spreadsheets/d/1SX6NBoVAgQJ6U1MVXOaj8PK2l7WJ3RER9xtqwdhxkhw/edit?usp=sharing"",""เพชรบุรี!J376"")"),2169)</f>
        <v>2169</v>
      </c>
      <c r="K481" s="203">
        <f t="shared" ca="1" si="117"/>
        <v>91.945739720220431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IFERROR(__xludf.DUMMYFUNCTION("IMPORTRANGE(""https://docs.google.com/spreadsheets/d/1SX6NBoVAgQJ6U1MVXOaj8PK2l7WJ3RER9xtqwdhxkhw/edit?usp=sharing"",""เพชรบุรี!J377"")"),289)</f>
        <v>289</v>
      </c>
      <c r="K482" s="165">
        <f t="shared" ca="1" si="117"/>
        <v>92.926045016077168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IFERROR(__xludf.DUMMYFUNCTION("IMPORTRANGE(""https://docs.google.com/spreadsheets/d/1SX6NBoVAgQJ6U1MVXOaj8PK2l7WJ3RER9xtqwdhxkhw/edit?usp=sharing"",""เพชรบุรี!I378"")"),0)</f>
        <v>0</v>
      </c>
      <c r="J483" s="190">
        <f ca="1">IFERROR(__xludf.DUMMYFUNCTION("IMPORTRANGE(""https://docs.google.com/spreadsheets/d/1SX6NBoVAgQJ6U1MVXOaj8PK2l7WJ3RER9xtqwdhxkhw/edit?usp=sharing"",""เพชรบุรี!J378"")"),2148)</f>
        <v>2148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IFERROR(__xludf.DUMMYFUNCTION("IMPORTRANGE(""https://docs.google.com/spreadsheets/d/1SX6NBoVAgQJ6U1MVXOaj8PK2l7WJ3RER9xtqwdhxkhw/edit?usp=sharing"",""เพชรบุรี!I379"")"),0)</f>
        <v>0</v>
      </c>
      <c r="J484" s="190">
        <f ca="1">IFERROR(__xludf.DUMMYFUNCTION("IMPORTRANGE(""https://docs.google.com/spreadsheets/d/1SX6NBoVAgQJ6U1MVXOaj8PK2l7WJ3RER9xtqwdhxkhw/edit?usp=sharing"",""เพชรบุรี!J379"")"),285)</f>
        <v>285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IFERROR(__xludf.DUMMYFUNCTION("IMPORTRANGE(""https://docs.google.com/spreadsheets/d/1SX6NBoVAgQJ6U1MVXOaj8PK2l7WJ3RER9xtqwdhxkhw/edit?usp=sharing"",""เพชรบุรี!I380"")"),0)</f>
        <v>0</v>
      </c>
      <c r="J485" s="190">
        <f ca="1">IFERROR(__xludf.DUMMYFUNCTION("IMPORTRANGE(""https://docs.google.com/spreadsheets/d/1SX6NBoVAgQJ6U1MVXOaj8PK2l7WJ3RER9xtqwdhxkhw/edit?usp=sharing"",""เพชรบุรี!J380"")"),0)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IFERROR(__xludf.DUMMYFUNCTION("IMPORTRANGE(""https://docs.google.com/spreadsheets/d/1SX6NBoVAgQJ6U1MVXOaj8PK2l7WJ3RER9xtqwdhxkhw/edit?usp=sharing"",""เพชรบุรี!I381"")"),0)</f>
        <v>0</v>
      </c>
      <c r="J486" s="190">
        <f ca="1">IFERROR(__xludf.DUMMYFUNCTION("IMPORTRANGE(""https://docs.google.com/spreadsheets/d/1SX6NBoVAgQJ6U1MVXOaj8PK2l7WJ3RER9xtqwdhxkhw/edit?usp=sharing"",""เพชรบุรี!J381"")"),0)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IFERROR(__xludf.DUMMYFUNCTION("IMPORTRANGE(""https://docs.google.com/spreadsheets/d/1SX6NBoVAgQJ6U1MVXOaj8PK2l7WJ3RER9xtqwdhxkhw/edit?usp=sharing"",""เพชรบุรี!I384"")"),0)</f>
        <v>0</v>
      </c>
      <c r="J489" s="190">
        <f ca="1">IFERROR(__xludf.DUMMYFUNCTION("IMPORTRANGE(""https://docs.google.com/spreadsheets/d/1SX6NBoVAgQJ6U1MVXOaj8PK2l7WJ3RER9xtqwdhxkhw/edit?usp=sharing"",""เพชรบุรี!J384"")"),21)</f>
        <v>21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IFERROR(__xludf.DUMMYFUNCTION("IMPORTRANGE(""https://docs.google.com/spreadsheets/d/1SX6NBoVAgQJ6U1MVXOaj8PK2l7WJ3RER9xtqwdhxkhw/edit?usp=sharing"",""เพชรบุรี!I385"")"),0)</f>
        <v>0</v>
      </c>
      <c r="J490" s="190">
        <f ca="1">IFERROR(__xludf.DUMMYFUNCTION("IMPORTRANGE(""https://docs.google.com/spreadsheets/d/1SX6NBoVAgQJ6U1MVXOaj8PK2l7WJ3RER9xtqwdhxkhw/edit?usp=sharing"",""เพชรบุรี!J385"")"),4)</f>
        <v>4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IFERROR(__xludf.DUMMYFUNCTION("IMPORTRANGE(""https://docs.google.com/spreadsheets/d/1SX6NBoVAgQJ6U1MVXOaj8PK2l7WJ3RER9xtqwdhxkhw/edit?usp=sharing"",""เพชรบุรี!I386"")"),0)</f>
        <v>0</v>
      </c>
      <c r="J491" s="190">
        <f ca="1">IFERROR(__xludf.DUMMYFUNCTION("IMPORTRANGE(""https://docs.google.com/spreadsheets/d/1SX6NBoVAgQJ6U1MVXOaj8PK2l7WJ3RER9xtqwdhxkhw/edit?usp=sharing"",""เพชรบุรี!J386"")"),0)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IFERROR(__xludf.DUMMYFUNCTION("IMPORTRANGE(""https://docs.google.com/spreadsheets/d/1SX6NBoVAgQJ6U1MVXOaj8PK2l7WJ3RER9xtqwdhxkhw/edit?usp=sharing"",""เพชรบุรี!I387"")"),0)</f>
        <v>0</v>
      </c>
      <c r="J492" s="190">
        <f ca="1">IFERROR(__xludf.DUMMYFUNCTION("IMPORTRANGE(""https://docs.google.com/spreadsheets/d/1SX6NBoVAgQJ6U1MVXOaj8PK2l7WJ3RER9xtqwdhxkhw/edit?usp=sharing"",""เพชรบุรี!J387"")"),0)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IFERROR(__xludf.DUMMYFUNCTION("IMPORTRANGE(""https://docs.google.com/spreadsheets/d/1SX6NBoVAgQJ6U1MVXOaj8PK2l7WJ3RER9xtqwdhxkhw/edit?usp=sharing"",""เพชรบุรี!I388"")"),0)</f>
        <v>0</v>
      </c>
      <c r="J493" s="190">
        <f ca="1">IFERROR(__xludf.DUMMYFUNCTION("IMPORTRANGE(""https://docs.google.com/spreadsheets/d/1SX6NBoVAgQJ6U1MVXOaj8PK2l7WJ3RER9xtqwdhxkhw/edit?usp=sharing"",""เพชรบุรี!J388"")"),0)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IFERROR(__xludf.DUMMYFUNCTION("IMPORTRANGE(""https://docs.google.com/spreadsheets/d/1SX6NBoVAgQJ6U1MVXOaj8PK2l7WJ3RER9xtqwdhxkhw/edit?usp=sharing"",""เพชรบุรี!J392"")"),504)</f>
        <v>504</v>
      </c>
      <c r="K497" s="444">
        <f t="shared" ca="1" si="117"/>
        <v>94.55909943714822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IFERROR(__xludf.DUMMYFUNCTION("IMPORTRANGE(""https://docs.google.com/spreadsheets/d/1SX6NBoVAgQJ6U1MVXOaj8PK2l7WJ3RER9xtqwdhxkhw/edit?usp=sharing"",""เพชรบุรี!J393"")"),504)</f>
        <v>504</v>
      </c>
      <c r="K498" s="165">
        <f t="shared" ca="1" si="117"/>
        <v>94.55909943714822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IFERROR(__xludf.DUMMYFUNCTION("IMPORTRANGE(""https://docs.google.com/spreadsheets/d/1SX6NBoVAgQJ6U1MVXOaj8PK2l7WJ3RER9xtqwdhxkhw/edit?usp=sharing"",""เพชรบุรี!J394"")"),101)</f>
        <v>101</v>
      </c>
      <c r="K499" s="203">
        <f t="shared" ca="1" si="117"/>
        <v>74.264705882352942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IFERROR(__xludf.DUMMYFUNCTION("IMPORTRANGE(""https://docs.google.com/spreadsheets/d/1SX6NBoVAgQJ6U1MVXOaj8PK2l7WJ3RER9xtqwdhxkhw/edit?usp=sharing"",""เพชรบุรี!I395"")"),0)</f>
        <v>0</v>
      </c>
      <c r="J500" s="164">
        <f ca="1">IFERROR(__xludf.DUMMYFUNCTION("IMPORTRANGE(""https://docs.google.com/spreadsheets/d/1SX6NBoVAgQJ6U1MVXOaj8PK2l7WJ3RER9xtqwdhxkhw/edit?usp=sharing"",""เพชรบุรี!J395"")"),0)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IFERROR(__xludf.DUMMYFUNCTION("IMPORTRANGE(""https://docs.google.com/spreadsheets/d/1SX6NBoVAgQJ6U1MVXOaj8PK2l7WJ3RER9xtqwdhxkhw/edit?usp=sharing"",""เพชรบุรี!I396"")"),0)</f>
        <v>0</v>
      </c>
      <c r="J501" s="164">
        <f ca="1">IFERROR(__xludf.DUMMYFUNCTION("IMPORTRANGE(""https://docs.google.com/spreadsheets/d/1SX6NBoVAgQJ6U1MVXOaj8PK2l7WJ3RER9xtqwdhxkhw/edit?usp=sharing"",""เพชรบุรี!J396"")"),0)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IFERROR(__xludf.DUMMYFUNCTION("IMPORTRANGE(""https://docs.google.com/spreadsheets/d/1SX6NBoVAgQJ6U1MVXOaj8PK2l7WJ3RER9xtqwdhxkhw/edit?usp=sharing"",""เพชรบุรี!I397"")"),0)</f>
        <v>0</v>
      </c>
      <c r="J502" s="190">
        <f ca="1">IFERROR(__xludf.DUMMYFUNCTION("IMPORTRANGE(""https://docs.google.com/spreadsheets/d/1SX6NBoVAgQJ6U1MVXOaj8PK2l7WJ3RER9xtqwdhxkhw/edit?usp=sharing"",""เพชรบุรี!J397"")"),0)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IFERROR(__xludf.DUMMYFUNCTION("IMPORTRANGE(""https://docs.google.com/spreadsheets/d/1SX6NBoVAgQJ6U1MVXOaj8PK2l7WJ3RER9xtqwdhxkhw/edit?usp=sharing"",""เพชรบุรี!I398"")"),0)</f>
        <v>0</v>
      </c>
      <c r="J503" s="199">
        <f ca="1">IFERROR(__xludf.DUMMYFUNCTION("IMPORTRANGE(""https://docs.google.com/spreadsheets/d/1SX6NBoVAgQJ6U1MVXOaj8PK2l7WJ3RER9xtqwdhxkhw/edit?usp=sharing"",""เพชรบุรี!J398"")"),0)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IFERROR(__xludf.DUMMYFUNCTION("IMPORTRANGE(""https://docs.google.com/spreadsheets/d/1SX6NBoVAgQJ6U1MVXOaj8PK2l7WJ3RER9xtqwdhxkhw/edit?usp=sharing"",""เพชรบุรี!I399"")"),0)</f>
        <v>0</v>
      </c>
      <c r="J504" s="190">
        <f ca="1">IFERROR(__xludf.DUMMYFUNCTION("IMPORTRANGE(""https://docs.google.com/spreadsheets/d/1SX6NBoVAgQJ6U1MVXOaj8PK2l7WJ3RER9xtqwdhxkhw/edit?usp=sharing"",""เพชรบุรี!J399"")"),0)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IFERROR(__xludf.DUMMYFUNCTION("IMPORTRANGE(""https://docs.google.com/spreadsheets/d/1SX6NBoVAgQJ6U1MVXOaj8PK2l7WJ3RER9xtqwdhxkhw/edit?usp=sharing"",""เพชรบุรี!I400"")"),0)</f>
        <v>0</v>
      </c>
      <c r="J505" s="199">
        <f ca="1">IFERROR(__xludf.DUMMYFUNCTION("IMPORTRANGE(""https://docs.google.com/spreadsheets/d/1SX6NBoVAgQJ6U1MVXOaj8PK2l7WJ3RER9xtqwdhxkhw/edit?usp=sharing"",""เพชรบุรี!J400"")"),0)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IFERROR(__xludf.DUMMYFUNCTION("IMPORTRANGE(""https://docs.google.com/spreadsheets/d/1SX6NBoVAgQJ6U1MVXOaj8PK2l7WJ3RER9xtqwdhxkhw/edit?usp=sharing"",""เพชรบุรี!I401"")"),0)</f>
        <v>0</v>
      </c>
      <c r="J506" s="190">
        <f ca="1">IFERROR(__xludf.DUMMYFUNCTION("IMPORTRANGE(""https://docs.google.com/spreadsheets/d/1SX6NBoVAgQJ6U1MVXOaj8PK2l7WJ3RER9xtqwdhxkhw/edit?usp=sharing"",""เพชรบุรี!J401"")"),0)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IFERROR(__xludf.DUMMYFUNCTION("IMPORTRANGE(""https://docs.google.com/spreadsheets/d/1SX6NBoVAgQJ6U1MVXOaj8PK2l7WJ3RER9xtqwdhxkhw/edit?usp=sharing"",""เพชรบุรี!I402"")"),0)</f>
        <v>0</v>
      </c>
      <c r="J507" s="199">
        <f ca="1">IFERROR(__xludf.DUMMYFUNCTION("IMPORTRANGE(""https://docs.google.com/spreadsheets/d/1SX6NBoVAgQJ6U1MVXOaj8PK2l7WJ3RER9xtqwdhxkhw/edit?usp=sharing"",""เพชรบุรี!J402"")"),0)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IFERROR(__xludf.DUMMYFUNCTION("IMPORTRANGE(""https://docs.google.com/spreadsheets/d/1SX6NBoVAgQJ6U1MVXOaj8PK2l7WJ3RER9xtqwdhxkhw/edit?usp=sharing"",""เพชรบุรี!I403"")"),0)</f>
        <v>0</v>
      </c>
      <c r="J508" s="164">
        <f ca="1">IFERROR(__xludf.DUMMYFUNCTION("IMPORTRANGE(""https://docs.google.com/spreadsheets/d/1SX6NBoVAgQJ6U1MVXOaj8PK2l7WJ3RER9xtqwdhxkhw/edit?usp=sharing"",""เพชรบุรี!J403"")"),0)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IFERROR(__xludf.DUMMYFUNCTION("IMPORTRANGE(""https://docs.google.com/spreadsheets/d/1SX6NBoVAgQJ6U1MVXOaj8PK2l7WJ3RER9xtqwdhxkhw/edit?usp=sharing"",""เพชรบุรี!I404"")"),0)</f>
        <v>0</v>
      </c>
      <c r="J509" s="164">
        <f ca="1">IFERROR(__xludf.DUMMYFUNCTION("IMPORTRANGE(""https://docs.google.com/spreadsheets/d/1SX6NBoVAgQJ6U1MVXOaj8PK2l7WJ3RER9xtqwdhxkhw/edit?usp=sharing"",""เพชรบุรี!J404"")"),0)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IFERROR(__xludf.DUMMYFUNCTION("IMPORTRANGE(""https://docs.google.com/spreadsheets/d/1SX6NBoVAgQJ6U1MVXOaj8PK2l7WJ3RER9xtqwdhxkhw/edit?usp=sharing"",""เพชรบุรี!I405"")"),0)</f>
        <v>0</v>
      </c>
      <c r="J510" s="199">
        <f ca="1">IFERROR(__xludf.DUMMYFUNCTION("IMPORTRANGE(""https://docs.google.com/spreadsheets/d/1SX6NBoVAgQJ6U1MVXOaj8PK2l7WJ3RER9xtqwdhxkhw/edit?usp=sharing"",""เพชรบุรี!J405"")"),0)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IFERROR(__xludf.DUMMYFUNCTION("IMPORTRANGE(""https://docs.google.com/spreadsheets/d/1SX6NBoVAgQJ6U1MVXOaj8PK2l7WJ3RER9xtqwdhxkhw/edit?usp=sharing"",""เพชรบุรี!I406"")"),0)</f>
        <v>0</v>
      </c>
      <c r="J511" s="199">
        <f ca="1">IFERROR(__xludf.DUMMYFUNCTION("IMPORTRANGE(""https://docs.google.com/spreadsheets/d/1SX6NBoVAgQJ6U1MVXOaj8PK2l7WJ3RER9xtqwdhxkhw/edit?usp=sharing"",""เพชรบุรี!J406"")"),0)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IFERROR(__xludf.DUMMYFUNCTION("IMPORTRANGE(""https://docs.google.com/spreadsheets/d/1SX6NBoVAgQJ6U1MVXOaj8PK2l7WJ3RER9xtqwdhxkhw/edit?usp=sharing"",""เพชรบุรี!I407"")"),0)</f>
        <v>0</v>
      </c>
      <c r="J512" s="199">
        <f ca="1">IFERROR(__xludf.DUMMYFUNCTION("IMPORTRANGE(""https://docs.google.com/spreadsheets/d/1SX6NBoVAgQJ6U1MVXOaj8PK2l7WJ3RER9xtqwdhxkhw/edit?usp=sharing"",""เพชรบุรี!J407"")"),0)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IFERROR(__xludf.DUMMYFUNCTION("IMPORTRANGE(""https://docs.google.com/spreadsheets/d/1SX6NBoVAgQJ6U1MVXOaj8PK2l7WJ3RER9xtqwdhxkhw/edit?usp=sharing"",""เพชรบุรี!I408"")"),0)</f>
        <v>0</v>
      </c>
      <c r="J513" s="199">
        <f ca="1">IFERROR(__xludf.DUMMYFUNCTION("IMPORTRANGE(""https://docs.google.com/spreadsheets/d/1SX6NBoVAgQJ6U1MVXOaj8PK2l7WJ3RER9xtqwdhxkhw/edit?usp=sharing"",""เพชรบุรี!J408"")"),0)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IFERROR(__xludf.DUMMYFUNCTION("IMPORTRANGE(""https://docs.google.com/spreadsheets/d/1SX6NBoVAgQJ6U1MVXOaj8PK2l7WJ3RER9xtqwdhxkhw/edit?usp=sharing"",""เพชรบุรี!I409"")"),0)</f>
        <v>0</v>
      </c>
      <c r="J514" s="199">
        <f ca="1">IFERROR(__xludf.DUMMYFUNCTION("IMPORTRANGE(""https://docs.google.com/spreadsheets/d/1SX6NBoVAgQJ6U1MVXOaj8PK2l7WJ3RER9xtqwdhxkhw/edit?usp=sharing"",""เพชรบุรี!J409"")"),504)</f>
        <v>504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IFERROR(__xludf.DUMMYFUNCTION("IMPORTRANGE(""https://docs.google.com/spreadsheets/d/1SX6NBoVAgQJ6U1MVXOaj8PK2l7WJ3RER9xtqwdhxkhw/edit?usp=sharing"",""เพชรบุรี!I410"")"),0)</f>
        <v>0</v>
      </c>
      <c r="J515" s="199">
        <f ca="1">IFERROR(__xludf.DUMMYFUNCTION("IMPORTRANGE(""https://docs.google.com/spreadsheets/d/1SX6NBoVAgQJ6U1MVXOaj8PK2l7WJ3RER9xtqwdhxkhw/edit?usp=sharing"",""เพชรบุรี!J410"")"),101)</f>
        <v>101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IFERROR(__xludf.DUMMYFUNCTION("IMPORTRANGE(""https://docs.google.com/spreadsheets/d/1SX6NBoVAgQJ6U1MVXOaj8PK2l7WJ3RER9xtqwdhxkhw/edit?usp=sharing"",""เพชรบุรี!I412"")"),0)</f>
        <v>0</v>
      </c>
      <c r="J517" s="284">
        <f ca="1">IFERROR(__xludf.DUMMYFUNCTION("IMPORTRANGE(""https://docs.google.com/spreadsheets/d/1SX6NBoVAgQJ6U1MVXOaj8PK2l7WJ3RER9xtqwdhxkhw/edit?usp=sharing"",""เพชรบุรี!J412"")"),0)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IFERROR(__xludf.DUMMYFUNCTION("IMPORTRANGE(""https://docs.google.com/spreadsheets/d/1SX6NBoVAgQJ6U1MVXOaj8PK2l7WJ3RER9xtqwdhxkhw/edit?usp=sharing"",""เพชรบุรี!I413"")"),0)</f>
        <v>0</v>
      </c>
      <c r="J518" s="284">
        <f ca="1">IFERROR(__xludf.DUMMYFUNCTION("IMPORTRANGE(""https://docs.google.com/spreadsheets/d/1SX6NBoVAgQJ6U1MVXOaj8PK2l7WJ3RER9xtqwdhxkhw/edit?usp=sharing"",""เพชรบุรี!J413"")"),0)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IFERROR(__xludf.DUMMYFUNCTION("IMPORTRANGE(""https://docs.google.com/spreadsheets/d/1SX6NBoVAgQJ6U1MVXOaj8PK2l7WJ3RER9xtqwdhxkhw/edit?usp=sharing"",""เพชรบุรี!I414"")"),0)</f>
        <v>0</v>
      </c>
      <c r="J519" s="189">
        <f ca="1">IFERROR(__xludf.DUMMYFUNCTION("IMPORTRANGE(""https://docs.google.com/spreadsheets/d/1SX6NBoVAgQJ6U1MVXOaj8PK2l7WJ3RER9xtqwdhxkhw/edit?usp=sharing"",""เพชรบุรี!J414"")"),0)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IFERROR(__xludf.DUMMYFUNCTION("IMPORTRANGE(""https://docs.google.com/spreadsheets/d/1SX6NBoVAgQJ6U1MVXOaj8PK2l7WJ3RER9xtqwdhxkhw/edit?usp=sharing"",""เพชรบุรี!I415"")"),0)</f>
        <v>0</v>
      </c>
      <c r="J520" s="189">
        <f ca="1">IFERROR(__xludf.DUMMYFUNCTION("IMPORTRANGE(""https://docs.google.com/spreadsheets/d/1SX6NBoVAgQJ6U1MVXOaj8PK2l7WJ3RER9xtqwdhxkhw/edit?usp=sharing"",""เพชรบุรี!J415"")"),0)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IFERROR(__xludf.DUMMYFUNCTION("IMPORTRANGE(""https://docs.google.com/spreadsheets/d/1SX6NBoVAgQJ6U1MVXOaj8PK2l7WJ3RER9xtqwdhxkhw/edit?usp=sharing"",""เพชรบุรี!I416"")"),0)</f>
        <v>0</v>
      </c>
      <c r="J521" s="189">
        <f ca="1">IFERROR(__xludf.DUMMYFUNCTION("IMPORTRANGE(""https://docs.google.com/spreadsheets/d/1SX6NBoVAgQJ6U1MVXOaj8PK2l7WJ3RER9xtqwdhxkhw/edit?usp=sharing"",""เพชรบุรี!J416"")"),0)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IFERROR(__xludf.DUMMYFUNCTION("IMPORTRANGE(""https://docs.google.com/spreadsheets/d/1SX6NBoVAgQJ6U1MVXOaj8PK2l7WJ3RER9xtqwdhxkhw/edit?usp=sharing"",""เพชรบุรี!I417"")"),0)</f>
        <v>0</v>
      </c>
      <c r="J522" s="189">
        <f ca="1">IFERROR(__xludf.DUMMYFUNCTION("IMPORTRANGE(""https://docs.google.com/spreadsheets/d/1SX6NBoVAgQJ6U1MVXOaj8PK2l7WJ3RER9xtqwdhxkhw/edit?usp=sharing"",""เพชรบุรี!J417"")"),0)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IFERROR(__xludf.DUMMYFUNCTION("IMPORTRANGE(""https://docs.google.com/spreadsheets/d/1SX6NBoVAgQJ6U1MVXOaj8PK2l7WJ3RER9xtqwdhxkhw/edit?usp=sharing"",""เพชรบุรี!I418"")"),0)</f>
        <v>0</v>
      </c>
      <c r="J523" s="189">
        <f ca="1">IFERROR(__xludf.DUMMYFUNCTION("IMPORTRANGE(""https://docs.google.com/spreadsheets/d/1SX6NBoVAgQJ6U1MVXOaj8PK2l7WJ3RER9xtqwdhxkhw/edit?usp=sharing"",""เพชรบุรี!J418"")"),0)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IFERROR(__xludf.DUMMYFUNCTION("IMPORTRANGE(""https://docs.google.com/spreadsheets/d/1SX6NBoVAgQJ6U1MVXOaj8PK2l7WJ3RER9xtqwdhxkhw/edit?usp=sharing"",""เพชรบุรี!I419"")"),0)</f>
        <v>0</v>
      </c>
      <c r="J524" s="189">
        <f ca="1">IFERROR(__xludf.DUMMYFUNCTION("IMPORTRANGE(""https://docs.google.com/spreadsheets/d/1SX6NBoVAgQJ6U1MVXOaj8PK2l7WJ3RER9xtqwdhxkhw/edit?usp=sharing"",""เพชรบุรี!J419"")"),0)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IFERROR(__xludf.DUMMYFUNCTION("IMPORTRANGE(""https://docs.google.com/spreadsheets/d/1SX6NBoVAgQJ6U1MVXOaj8PK2l7WJ3RER9xtqwdhxkhw/edit?usp=sharing"",""เพชรบุรี!I420"")"),0)</f>
        <v>0</v>
      </c>
      <c r="J525" s="284">
        <f ca="1">IFERROR(__xludf.DUMMYFUNCTION("IMPORTRANGE(""https://docs.google.com/spreadsheets/d/1SX6NBoVAgQJ6U1MVXOaj8PK2l7WJ3RER9xtqwdhxkhw/edit?usp=sharing"",""เพชรบุรี!J420"")"),0)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IFERROR(__xludf.DUMMYFUNCTION("IMPORTRANGE(""https://docs.google.com/spreadsheets/d/1SX6NBoVAgQJ6U1MVXOaj8PK2l7WJ3RER9xtqwdhxkhw/edit?usp=sharing"",""เพชรบุรี!I421"")"),0)</f>
        <v>0</v>
      </c>
      <c r="J526" s="284">
        <f ca="1">IFERROR(__xludf.DUMMYFUNCTION("IMPORTRANGE(""https://docs.google.com/spreadsheets/d/1SX6NBoVAgQJ6U1MVXOaj8PK2l7WJ3RER9xtqwdhxkhw/edit?usp=sharing"",""เพชรบุรี!J421"")"),0)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IFERROR(__xludf.DUMMYFUNCTION("IMPORTRANGE(""https://docs.google.com/spreadsheets/d/1SX6NBoVAgQJ6U1MVXOaj8PK2l7WJ3RER9xtqwdhxkhw/edit?usp=sharing"",""เพชรบุรี!I422"")"),0)</f>
        <v>0</v>
      </c>
      <c r="J527" s="199">
        <f ca="1">IFERROR(__xludf.DUMMYFUNCTION("IMPORTRANGE(""https://docs.google.com/spreadsheets/d/1SX6NBoVAgQJ6U1MVXOaj8PK2l7WJ3RER9xtqwdhxkhw/edit?usp=sharing"",""เพชรบุรี!J422"")"),0)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IFERROR(__xludf.DUMMYFUNCTION("IMPORTRANGE(""https://docs.google.com/spreadsheets/d/1SX6NBoVAgQJ6U1MVXOaj8PK2l7WJ3RER9xtqwdhxkhw/edit?usp=sharing"",""เพชรบุรี!I423"")"),0)</f>
        <v>0</v>
      </c>
      <c r="J528" s="199">
        <f ca="1">IFERROR(__xludf.DUMMYFUNCTION("IMPORTRANGE(""https://docs.google.com/spreadsheets/d/1SX6NBoVAgQJ6U1MVXOaj8PK2l7WJ3RER9xtqwdhxkhw/edit?usp=sharing"",""เพชรบุรี!J423"")"),0)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IFERROR(__xludf.DUMMYFUNCTION("IMPORTRANGE(""https://docs.google.com/spreadsheets/d/1SX6NBoVAgQJ6U1MVXOaj8PK2l7WJ3RER9xtqwdhxkhw/edit?usp=sharing"",""เพชรบุรี!I424"")"),0)</f>
        <v>0</v>
      </c>
      <c r="J529" s="199">
        <f ca="1">IFERROR(__xludf.DUMMYFUNCTION("IMPORTRANGE(""https://docs.google.com/spreadsheets/d/1SX6NBoVAgQJ6U1MVXOaj8PK2l7WJ3RER9xtqwdhxkhw/edit?usp=sharing"",""เพชรบุรี!J424"")"),0)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IFERROR(__xludf.DUMMYFUNCTION("IMPORTRANGE(""https://docs.google.com/spreadsheets/d/1SX6NBoVAgQJ6U1MVXOaj8PK2l7WJ3RER9xtqwdhxkhw/edit?usp=sharing"",""เพชรบุรี!I425"")"),0)</f>
        <v>0</v>
      </c>
      <c r="J530" s="199">
        <f ca="1">IFERROR(__xludf.DUMMYFUNCTION("IMPORTRANGE(""https://docs.google.com/spreadsheets/d/1SX6NBoVAgQJ6U1MVXOaj8PK2l7WJ3RER9xtqwdhxkhw/edit?usp=sharing"",""เพชรบุรี!J425"")"),0)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IFERROR(__xludf.DUMMYFUNCTION("IMPORTRANGE(""https://docs.google.com/spreadsheets/d/1SX6NBoVAgQJ6U1MVXOaj8PK2l7WJ3RER9xtqwdhxkhw/edit?usp=sharing"",""เพชรบุรี!I426"")"),0)</f>
        <v>0</v>
      </c>
      <c r="J531" s="199">
        <f ca="1">IFERROR(__xludf.DUMMYFUNCTION("IMPORTRANGE(""https://docs.google.com/spreadsheets/d/1SX6NBoVAgQJ6U1MVXOaj8PK2l7WJ3RER9xtqwdhxkhw/edit?usp=sharing"",""เพชรบุรี!J426"")"),0)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IFERROR(__xludf.DUMMYFUNCTION("IMPORTRANGE(""https://docs.google.com/spreadsheets/d/1SX6NBoVAgQJ6U1MVXOaj8PK2l7WJ3RER9xtqwdhxkhw/edit?usp=sharing"",""เพชรบุรี!M428"")"),18805)</f>
        <v>18805</v>
      </c>
      <c r="O533" s="412">
        <f t="shared" ref="O533:O537" ca="1" si="118">+IF(L533&gt;0,N533*100/L533,0)</f>
        <v>54.761211415259176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IFERROR(__xludf.DUMMYFUNCTION("IMPORTRANGE(""https://docs.google.com/spreadsheets/d/1SX6NBoVAgQJ6U1MVXOaj8PK2l7WJ3RER9xtqwdhxkhw/edit?usp=sharing"",""เพชรบุรี!L429"")"),0)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IFERROR(__xludf.DUMMYFUNCTION("IMPORTRANGE(""https://docs.google.com/spreadsheets/d/1SX6NBoVAgQJ6U1MVXOaj8PK2l7WJ3RER9xtqwdhxkhw/edit?usp=sharing"",""เพชรบุรี!M429"")"),0)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IFERROR(__xludf.DUMMYFUNCTION("IMPORTRANGE(""https://docs.google.com/spreadsheets/d/1SX6NBoVAgQJ6U1MVXOaj8PK2l7WJ3RER9xtqwdhxkhw/edit?usp=sharing"",""เพชรบุรี!L430"")"),34340)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IFERROR(__xludf.DUMMYFUNCTION("IMPORTRANGE(""https://docs.google.com/spreadsheets/d/1SX6NBoVAgQJ6U1MVXOaj8PK2l7WJ3RER9xtqwdhxkhw/edit?usp=sharing"",""เพชรบุรี!M430"")"),18805)</f>
        <v>18805</v>
      </c>
      <c r="O535" s="170">
        <f t="shared" ca="1" si="118"/>
        <v>54.761211415259176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IFERROR(__xludf.DUMMYFUNCTION("IMPORTRANGE(""https://docs.google.com/spreadsheets/d/1SX6NBoVAgQJ6U1MVXOaj8PK2l7WJ3RER9xtqwdhxkhw/edit?usp=sharing"",""เพชรบุรี!L431"")"),0)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IFERROR(__xludf.DUMMYFUNCTION("IMPORTRANGE(""https://docs.google.com/spreadsheets/d/1SX6NBoVAgQJ6U1MVXOaj8PK2l7WJ3RER9xtqwdhxkhw/edit?usp=sharing"",""เพชรบุรี!M431"")"),0)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IFERROR(__xludf.DUMMYFUNCTION("IMPORTRANGE(""https://docs.google.com/spreadsheets/d/1SX6NBoVAgQJ6U1MVXOaj8PK2l7WJ3RER9xtqwdhxkhw/edit?usp=sharing"",""เพชรบุรี!L432"")"),34340)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IFERROR(__xludf.DUMMYFUNCTION("IMPORTRANGE(""https://docs.google.com/spreadsheets/d/1SX6NBoVAgQJ6U1MVXOaj8PK2l7WJ3RER9xtqwdhxkhw/edit?usp=sharing"",""เพชรบุรี!M432"")"),18805)</f>
        <v>18805</v>
      </c>
      <c r="O537" s="170">
        <f t="shared" ca="1" si="118"/>
        <v>54.761211415259176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IFERROR(__xludf.DUMMYFUNCTION("IMPORTRANGE(""https://docs.google.com/spreadsheets/d/1SX6NBoVAgQJ6U1MVXOaj8PK2l7WJ3RER9xtqwdhxkhw/edit?usp=sharing"",""เพชรบุรี!M433"")"),18805)</f>
        <v>18805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IFERROR(__xludf.DUMMYFUNCTION("IMPORTRANGE(""https://docs.google.com/spreadsheets/d/1SX6NBoVAgQJ6U1MVXOaj8PK2l7WJ3RER9xtqwdhxkhw/edit?usp=sharing"",""เพชรบุรี!J438"")"),0)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IFERROR(__xludf.DUMMYFUNCTION("IMPORTRANGE(""https://docs.google.com/spreadsheets/d/1SX6NBoVAgQJ6U1MVXOaj8PK2l7WJ3RER9xtqwdhxkhw/edit?usp=sharing"",""เพชรบุรี!J439"")"),1)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IFERROR(__xludf.DUMMYFUNCTION("IMPORTRANGE(""https://docs.google.com/spreadsheets/d/1SX6NBoVAgQJ6U1MVXOaj8PK2l7WJ3RER9xtqwdhxkhw/edit?usp=sharing"",""เพชรบุรี!J440"")"),1)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IFERROR(__xludf.DUMMYFUNCTION("IMPORTRANGE(""https://docs.google.com/spreadsheets/d/1SX6NBoVAgQJ6U1MVXOaj8PK2l7WJ3RER9xtqwdhxkhw/edit?usp=sharing"",""เพชรบุรี!J441"")"),1)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IFERROR(__xludf.DUMMYFUNCTION("IMPORTRANGE(""https://docs.google.com/spreadsheets/d/1SX6NBoVAgQJ6U1MVXOaj8PK2l7WJ3RER9xtqwdhxkhw/edit?usp=sharing"",""เพชรบุรี!I442"")"),22)</f>
        <v>22</v>
      </c>
      <c r="J547" s="190">
        <f ca="1">IFERROR(__xludf.DUMMYFUNCTION("IMPORTRANGE(""https://docs.google.com/spreadsheets/d/1SX6NBoVAgQJ6U1MVXOaj8PK2l7WJ3RER9xtqwdhxkhw/edit?usp=sharing"",""เพชรบุรี!J442"")"),22)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IFERROR(__xludf.DUMMYFUNCTION("IMPORTRANGE(""https://docs.google.com/spreadsheets/d/1SX6NBoVAgQJ6U1MVXOaj8PK2l7WJ3RER9xtqwdhxkhw/edit?usp=sharing"",""เพชรบุรี!J166"")"),0)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IFERROR(__xludf.DUMMYFUNCTION("IMPORTRANGE(""https://docs.google.com/spreadsheets/d/1SX6NBoVAgQJ6U1MVXOaj8PK2l7WJ3RER9xtqwdhxkhw/edit?usp=sharing"",""เพชรบุรี!J444"")"),0)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IFERROR(__xludf.DUMMYFUNCTION("IMPORTRANGE(""https://docs.google.com/spreadsheets/d/1SX6NBoVAgQJ6U1MVXOaj8PK2l7WJ3RER9xtqwdhxkhw/edit?usp=sharing"",""เพชรบุรี!L447"")"),0)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IFERROR(__xludf.DUMMYFUNCTION("IMPORTRANGE(""https://docs.google.com/spreadsheets/d/1SX6NBoVAgQJ6U1MVXOaj8PK2l7WJ3RER9xtqwdhxkhw/edit?usp=sharing"",""เพชรบุรี!M447"")"),0)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IFERROR(__xludf.DUMMYFUNCTION("IMPORTRANGE(""https://docs.google.com/spreadsheets/d/1SX6NBoVAgQJ6U1MVXOaj8PK2l7WJ3RER9xtqwdhxkhw/edit?usp=sharing"",""เพชรบุรี!L448"")"),0)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IFERROR(__xludf.DUMMYFUNCTION("IMPORTRANGE(""https://docs.google.com/spreadsheets/d/1SX6NBoVAgQJ6U1MVXOaj8PK2l7WJ3RER9xtqwdhxkhw/edit?usp=sharing"",""เพชรบุรี!M448"")"),0)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IFERROR(__xludf.DUMMYFUNCTION("IMPORTRANGE(""https://docs.google.com/spreadsheets/d/1SX6NBoVAgQJ6U1MVXOaj8PK2l7WJ3RER9xtqwdhxkhw/edit?usp=sharing"",""เพชรบุรี!L449"")"),0)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IFERROR(__xludf.DUMMYFUNCTION("IMPORTRANGE(""https://docs.google.com/spreadsheets/d/1SX6NBoVAgQJ6U1MVXOaj8PK2l7WJ3RER9xtqwdhxkhw/edit?usp=sharing"",""เพชรบุรี!M449"")"),0)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IFERROR(__xludf.DUMMYFUNCTION("IMPORTRANGE(""https://docs.google.com/spreadsheets/d/1SX6NBoVAgQJ6U1MVXOaj8PK2l7WJ3RER9xtqwdhxkhw/edit?usp=sharing"",""เพชรบุรี!L450"")"),0)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IFERROR(__xludf.DUMMYFUNCTION("IMPORTRANGE(""https://docs.google.com/spreadsheets/d/1SX6NBoVAgQJ6U1MVXOaj8PK2l7WJ3RER9xtqwdhxkhw/edit?usp=sharing"",""เพชรบุรี!M450"")"),0)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IFERROR(__xludf.DUMMYFUNCTION("IMPORTRANGE(""https://docs.google.com/spreadsheets/d/1SX6NBoVAgQJ6U1MVXOaj8PK2l7WJ3RER9xtqwdhxkhw/edit?usp=sharing"",""เพชรบุรี!M451"")"),0)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IFERROR(__xludf.DUMMYFUNCTION("IMPORTRANGE(""https://docs.google.com/spreadsheets/d/1SX6NBoVAgQJ6U1MVXOaj8PK2l7WJ3RER9xtqwdhxkhw/edit?usp=sharing"",""เพชรบุรี!M452"")"),0)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IFERROR(__xludf.DUMMYFUNCTION("IMPORTRANGE(""https://docs.google.com/spreadsheets/d/1SX6NBoVAgQJ6U1MVXOaj8PK2l7WJ3RER9xtqwdhxkhw/edit?usp=sharing"",""เพชรบุรี!M453"")"),0)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IFERROR(__xludf.DUMMYFUNCTION("IMPORTRANGE(""https://docs.google.com/spreadsheets/d/1SX6NBoVAgQJ6U1MVXOaj8PK2l7WJ3RER9xtqwdhxkhw/edit?usp=sharing"",""เพชรบุรี!M454"")"),0)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IFERROR(__xludf.DUMMYFUNCTION("IMPORTRANGE(""https://docs.google.com/spreadsheets/d/1SX6NBoVAgQJ6U1MVXOaj8PK2l7WJ3RER9xtqwdhxkhw/edit?usp=sharing"",""เพชรบุรี!I455"")"),0)</f>
        <v>0</v>
      </c>
      <c r="J560" s="164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IFERROR(__xludf.DUMMYFUNCTION("IMPORTRANGE(""https://docs.google.com/spreadsheets/d/1SX6NBoVAgQJ6U1MVXOaj8PK2l7WJ3RER9xtqwdhxkhw/edit?usp=sharing"",""เพชรบุรี!I456"")"),0)</f>
        <v>0</v>
      </c>
      <c r="J561" s="205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IFERROR(__xludf.DUMMYFUNCTION("IMPORTRANGE(""https://docs.google.com/spreadsheets/d/1SX6NBoVAgQJ6U1MVXOaj8PK2l7WJ3RER9xtqwdhxkhw/edit?usp=sharing"",""เพชรบุรี!I457"")"),0)</f>
        <v>0</v>
      </c>
      <c r="J562" s="205" t="str">
        <f ca="1">IFERROR(__xludf.DUMMYFUNCTION("IMPORTRANGE(""https://docs.google.com/spreadsheets/d/1SX6NBoVAgQJ6U1MVXOaj8PK2l7WJ3RER9xtqwdhxkhw/edit?usp=sharing"",""เพชรบุรี!J457"")"),"")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IFERROR(__xludf.DUMMYFUNCTION("IMPORTRANGE(""https://docs.google.com/spreadsheets/d/1SX6NBoVAgQJ6U1MVXOaj8PK2l7WJ3RER9xtqwdhxkhw/edit?usp=sharing"",""เพชรบุรี!I458"")"),0)</f>
        <v>0</v>
      </c>
      <c r="J563" s="189" t="str">
        <f ca="1">IFERROR(__xludf.DUMMYFUNCTION("IMPORTRANGE(""https://docs.google.com/spreadsheets/d/1SX6NBoVAgQJ6U1MVXOaj8PK2l7WJ3RER9xtqwdhxkhw/edit?usp=sharing"",""เพชรบุรี!J458"")"),"")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IFERROR(__xludf.DUMMYFUNCTION("IMPORTRANGE(""https://docs.google.com/spreadsheets/d/1SX6NBoVAgQJ6U1MVXOaj8PK2l7WJ3RER9xtqwdhxkhw/edit?usp=sharing"",""เพชรบุรี!J459"")"),256)</f>
        <v>256</v>
      </c>
      <c r="K564" s="372">
        <f t="shared" ca="1" si="121"/>
        <v>170.66666666666666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IFERROR(__xludf.DUMMYFUNCTION("IMPORTRANGE(""https://docs.google.com/spreadsheets/d/1SX6NBoVAgQJ6U1MVXOaj8PK2l7WJ3RER9xtqwdhxkhw/edit?usp=sharing"",""เพชรบุรี!M459"")"),44000)</f>
        <v>44000</v>
      </c>
      <c r="O564" s="373">
        <f t="shared" ref="O564:O568" ca="1" si="122">+IF(L564&gt;0,N564*100/L564,0)</f>
        <v>35.947712418300654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IFERROR(__xludf.DUMMYFUNCTION("IMPORTRANGE(""https://docs.google.com/spreadsheets/d/1SX6NBoVAgQJ6U1MVXOaj8PK2l7WJ3RER9xtqwdhxkhw/edit?usp=sharing"",""เพชรบุรี!L460"")"),0)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IFERROR(__xludf.DUMMYFUNCTION("IMPORTRANGE(""https://docs.google.com/spreadsheets/d/1SX6NBoVAgQJ6U1MVXOaj8PK2l7WJ3RER9xtqwdhxkhw/edit?usp=sharing"",""เพชรบุรี!M460"")"),0)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IFERROR(__xludf.DUMMYFUNCTION("IMPORTRANGE(""https://docs.google.com/spreadsheets/d/1SX6NBoVAgQJ6U1MVXOaj8PK2l7WJ3RER9xtqwdhxkhw/edit?usp=sharing"",""เพชรบุรี!L461"")"),122400)</f>
        <v>122400</v>
      </c>
      <c r="M566" s="167"/>
      <c r="N566" s="170">
        <f ca="1">IFERROR(__xludf.DUMMYFUNCTION("IMPORTRANGE(""https://docs.google.com/spreadsheets/d/1SX6NBoVAgQJ6U1MVXOaj8PK2l7WJ3RER9xtqwdhxkhw/edit?usp=sharing"",""เพชรบุรี!M461"")"),44000)</f>
        <v>44000</v>
      </c>
      <c r="O566" s="170">
        <f t="shared" ca="1" si="122"/>
        <v>35.947712418300654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IFERROR(__xludf.DUMMYFUNCTION("IMPORTRANGE(""https://docs.google.com/spreadsheets/d/1SX6NBoVAgQJ6U1MVXOaj8PK2l7WJ3RER9xtqwdhxkhw/edit?usp=sharing"",""เพชรบุรี!L462"")"),0)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IFERROR(__xludf.DUMMYFUNCTION("IMPORTRANGE(""https://docs.google.com/spreadsheets/d/1SX6NBoVAgQJ6U1MVXOaj8PK2l7WJ3RER9xtqwdhxkhw/edit?usp=sharing"",""เพชรบุรี!M462"")"),0)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IFERROR(__xludf.DUMMYFUNCTION("IMPORTRANGE(""https://docs.google.com/spreadsheets/d/1SX6NBoVAgQJ6U1MVXOaj8PK2l7WJ3RER9xtqwdhxkhw/edit?usp=sharing"",""เพชรบุรี!L463"")"),122400)</f>
        <v>122400</v>
      </c>
      <c r="M568" s="170"/>
      <c r="N568" s="170">
        <f ca="1">IFERROR(__xludf.DUMMYFUNCTION("IMPORTRANGE(""https://docs.google.com/spreadsheets/d/1SX6NBoVAgQJ6U1MVXOaj8PK2l7WJ3RER9xtqwdhxkhw/edit?usp=sharing"",""เพชรบุรี!M463"")"),44000)</f>
        <v>44000</v>
      </c>
      <c r="O568" s="170">
        <f t="shared" ca="1" si="122"/>
        <v>35.947712418300654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IFERROR(__xludf.DUMMYFUNCTION("IMPORTRANGE(""https://docs.google.com/spreadsheets/d/1SX6NBoVAgQJ6U1MVXOaj8PK2l7WJ3RER9xtqwdhxkhw/edit?usp=sharing"",""เพชรบุรี!M464"")"),0)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IFERROR(__xludf.DUMMYFUNCTION("IMPORTRANGE(""https://docs.google.com/spreadsheets/d/1SX6NBoVAgQJ6U1MVXOaj8PK2l7WJ3RER9xtqwdhxkhw/edit?usp=sharing"",""เพชรบุรี!M465"")"),0)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IFERROR(__xludf.DUMMYFUNCTION("IMPORTRANGE(""https://docs.google.com/spreadsheets/d/1SX6NBoVAgQJ6U1MVXOaj8PK2l7WJ3RER9xtqwdhxkhw/edit?usp=sharing"",""เพชรบุรี!M466"")"),44000)</f>
        <v>44000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IFERROR(__xludf.DUMMYFUNCTION("IMPORTRANGE(""https://docs.google.com/spreadsheets/d/1SX6NBoVAgQJ6U1MVXOaj8PK2l7WJ3RER9xtqwdhxkhw/edit?usp=sharing"",""เพชรบุรี!M467"")"),0)</f>
        <v>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IFERROR(__xludf.DUMMYFUNCTION("IMPORTRANGE(""https://docs.google.com/spreadsheets/d/1SX6NBoVAgQJ6U1MVXOaj8PK2l7WJ3RER9xtqwdhxkhw/edit?usp=sharing"",""เพชรบุรี!J468"")"),256)</f>
        <v>256</v>
      </c>
      <c r="K573" s="203">
        <f ca="1">IF(I573&gt;0,J573*100/I573,0)</f>
        <v>170.66666666666666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IFERROR(__xludf.DUMMYFUNCTION("IMPORTRANGE(""https://docs.google.com/spreadsheets/d/1SX6NBoVAgQJ6U1MVXOaj8PK2l7WJ3RER9xtqwdhxkhw/edit?usp=sharing"",""เพชรบุรี!I470"")"),0)</f>
        <v>0</v>
      </c>
      <c r="J575" s="199">
        <f ca="1">IFERROR(__xludf.DUMMYFUNCTION("IMPORTRANGE(""https://docs.google.com/spreadsheets/d/1SX6NBoVAgQJ6U1MVXOaj8PK2l7WJ3RER9xtqwdhxkhw/edit?usp=sharing"",""เพชรบุรี!J470"")"),0)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IFERROR(__xludf.DUMMYFUNCTION("IMPORTRANGE(""https://docs.google.com/spreadsheets/d/1SX6NBoVAgQJ6U1MVXOaj8PK2l7WJ3RER9xtqwdhxkhw/edit?usp=sharing"",""เพชรบุรี!I471"")"),0)</f>
        <v>0</v>
      </c>
      <c r="J576" s="199">
        <f ca="1">IFERROR(__xludf.DUMMYFUNCTION("IMPORTRANGE(""https://docs.google.com/spreadsheets/d/1SX6NBoVAgQJ6U1MVXOaj8PK2l7WJ3RER9xtqwdhxkhw/edit?usp=sharing"",""เพชรบุรี!J471"")"),0)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IFERROR(__xludf.DUMMYFUNCTION("IMPORTRANGE(""https://docs.google.com/spreadsheets/d/1SX6NBoVAgQJ6U1MVXOaj8PK2l7WJ3RER9xtqwdhxkhw/edit?usp=sharing"",""เพชรบุรี!I472"")"),0)</f>
        <v>0</v>
      </c>
      <c r="J577" s="190">
        <f ca="1">IFERROR(__xludf.DUMMYFUNCTION("IMPORTRANGE(""https://docs.google.com/spreadsheets/d/1SX6NBoVAgQJ6U1MVXOaj8PK2l7WJ3RER9xtqwdhxkhw/edit?usp=sharing"",""เพชรบุรี!J472"")"),256)</f>
        <v>256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IFERROR(__xludf.DUMMYFUNCTION("IMPORTRANGE(""https://docs.google.com/spreadsheets/d/1SX6NBoVAgQJ6U1MVXOaj8PK2l7WJ3RER9xtqwdhxkhw/edit?usp=sharing"",""เพชรบุรี!I473"")"),0)</f>
        <v>0</v>
      </c>
      <c r="J578" s="199">
        <f ca="1">IFERROR(__xludf.DUMMYFUNCTION("IMPORTRANGE(""https://docs.google.com/spreadsheets/d/1SX6NBoVAgQJ6U1MVXOaj8PK2l7WJ3RER9xtqwdhxkhw/edit?usp=sharing"",""เพชรบุรี!J473"")"),0)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IFERROR(__xludf.DUMMYFUNCTION("IMPORTRANGE(""https://docs.google.com/spreadsheets/d/1SX6NBoVAgQJ6U1MVXOaj8PK2l7WJ3RER9xtqwdhxkhw/edit?usp=sharing"",""เพชรบุรี!I474"")"),0)</f>
        <v>0</v>
      </c>
      <c r="J579" s="199">
        <f ca="1">IFERROR(__xludf.DUMMYFUNCTION("IMPORTRANGE(""https://docs.google.com/spreadsheets/d/1SX6NBoVAgQJ6U1MVXOaj8PK2l7WJ3RER9xtqwdhxkhw/edit?usp=sharing"",""เพชรบุรี!J474"")"),0)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IFERROR(__xludf.DUMMYFUNCTION("IMPORTRANGE(""https://docs.google.com/spreadsheets/d/1SX6NBoVAgQJ6U1MVXOaj8PK2l7WJ3RER9xtqwdhxkhw/edit?usp=sharing"",""เพชรบุรี!L476"")"),0)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IFERROR(__xludf.DUMMYFUNCTION("IMPORTRANGE(""https://docs.google.com/spreadsheets/d/1SX6NBoVAgQJ6U1MVXOaj8PK2l7WJ3RER9xtqwdhxkhw/edit?usp=sharing"",""เพชรบุรี!M476"")"),0)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IFERROR(__xludf.DUMMYFUNCTION("IMPORTRANGE(""https://docs.google.com/spreadsheets/d/1SX6NBoVAgQJ6U1MVXOaj8PK2l7WJ3RER9xtqwdhxkhw/edit?usp=sharing"",""เพชรบุรี!L477"")"),0)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IFERROR(__xludf.DUMMYFUNCTION("IMPORTRANGE(""https://docs.google.com/spreadsheets/d/1SX6NBoVAgQJ6U1MVXOaj8PK2l7WJ3RER9xtqwdhxkhw/edit?usp=sharing"",""เพชรบุรี!M477"")"),0)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IFERROR(__xludf.DUMMYFUNCTION("IMPORTRANGE(""https://docs.google.com/spreadsheets/d/1SX6NBoVAgQJ6U1MVXOaj8PK2l7WJ3RER9xtqwdhxkhw/edit?usp=sharing"",""เพชรบุรี!L478"")"),0)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IFERROR(__xludf.DUMMYFUNCTION("IMPORTRANGE(""https://docs.google.com/spreadsheets/d/1SX6NBoVAgQJ6U1MVXOaj8PK2l7WJ3RER9xtqwdhxkhw/edit?usp=sharing"",""เพชรบุรี!M478"")"),0)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IFERROR(__xludf.DUMMYFUNCTION("IMPORTRANGE(""https://docs.google.com/spreadsheets/d/1SX6NBoVAgQJ6U1MVXOaj8PK2l7WJ3RER9xtqwdhxkhw/edit?usp=sharing"",""เพชรบุรี!L479"")"),0)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IFERROR(__xludf.DUMMYFUNCTION("IMPORTRANGE(""https://docs.google.com/spreadsheets/d/1SX6NBoVAgQJ6U1MVXOaj8PK2l7WJ3RER9xtqwdhxkhw/edit?usp=sharing"",""เพชรบุรี!M479"")"),0)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IFERROR(__xludf.DUMMYFUNCTION("IMPORTRANGE(""https://docs.google.com/spreadsheets/d/1SX6NBoVAgQJ6U1MVXOaj8PK2l7WJ3RER9xtqwdhxkhw/edit?usp=sharing"",""เพชรบุรี!M480"")"),0)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IFERROR(__xludf.DUMMYFUNCTION("IMPORTRANGE(""https://docs.google.com/spreadsheets/d/1SX6NBoVAgQJ6U1MVXOaj8PK2l7WJ3RER9xtqwdhxkhw/edit?usp=sharing"",""เพชรบุรี!M481"")"),0)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IFERROR(__xludf.DUMMYFUNCTION("IMPORTRANGE(""https://docs.google.com/spreadsheets/d/1SX6NBoVAgQJ6U1MVXOaj8PK2l7WJ3RER9xtqwdhxkhw/edit?usp=sharing"",""เพชรบุรี!M482"")"),0)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IFERROR(__xludf.DUMMYFUNCTION("IMPORTRANGE(""https://docs.google.com/spreadsheets/d/1SX6NBoVAgQJ6U1MVXOaj8PK2l7WJ3RER9xtqwdhxkhw/edit?usp=sharing"",""เพชรบุรี!M483"")"),0)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IFERROR(__xludf.DUMMYFUNCTION("IMPORTRANGE(""https://docs.google.com/spreadsheets/d/1SX6NBoVAgQJ6U1MVXOaj8PK2l7WJ3RER9xtqwdhxkhw/edit?usp=sharing"",""เพชรบุรี!I484"")"),0)</f>
        <v>0</v>
      </c>
      <c r="J589" s="189">
        <f ca="1">IFERROR(__xludf.DUMMYFUNCTION("IMPORTRANGE(""https://docs.google.com/spreadsheets/d/1SX6NBoVAgQJ6U1MVXOaj8PK2l7WJ3RER9xtqwdhxkhw/edit?usp=sharing"",""เพชรบุรี!J484"")"),0)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9">
        <f ca="1">IFERROR(__xludf.DUMMYFUNCTION("IMPORTRANGE(""https://docs.google.com/spreadsheets/d/1SX6NBoVAgQJ6U1MVXOaj8PK2l7WJ3RER9xtqwdhxkhw/edit?usp=sharing"",""เพชรบุรี!J485"")"),0)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IFERROR(__xludf.DUMMYFUNCTION("IMPORTRANGE(""https://docs.google.com/spreadsheets/d/1SX6NBoVAgQJ6U1MVXOaj8PK2l7WJ3RER9xtqwdhxkhw/edit?usp=sharing"",""เพชรบุรี!I486"")"),0)</f>
        <v>0</v>
      </c>
      <c r="J591" s="189">
        <f ca="1">IFERROR(__xludf.DUMMYFUNCTION("IMPORTRANGE(""https://docs.google.com/spreadsheets/d/1SX6NBoVAgQJ6U1MVXOaj8PK2l7WJ3RER9xtqwdhxkhw/edit?usp=sharing"",""เพชรบุรี!J486"")"),0)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9">
        <f ca="1">IFERROR(__xludf.DUMMYFUNCTION("IMPORTRANGE(""https://docs.google.com/spreadsheets/d/1SX6NBoVAgQJ6U1MVXOaj8PK2l7WJ3RER9xtqwdhxkhw/edit?usp=sharing"",""เพชรบุรี!J487"")"),0)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IFERROR(__xludf.DUMMYFUNCTION("IMPORTRANGE(""https://docs.google.com/spreadsheets/d/1SX6NBoVAgQJ6U1MVXOaj8PK2l7WJ3RER9xtqwdhxkhw/edit?usp=sharing"",""เพชรบุรี!I488"")"),0)</f>
        <v>0</v>
      </c>
      <c r="J593" s="189">
        <f ca="1">IFERROR(__xludf.DUMMYFUNCTION("IMPORTRANGE(""https://docs.google.com/spreadsheets/d/1SX6NBoVAgQJ6U1MVXOaj8PK2l7WJ3RER9xtqwdhxkhw/edit?usp=sharing"",""เพชรบุรี!J488"")"),0)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9">
        <f ca="1">IFERROR(__xludf.DUMMYFUNCTION("IMPORTRANGE(""https://docs.google.com/spreadsheets/d/1SX6NBoVAgQJ6U1MVXOaj8PK2l7WJ3RER9xtqwdhxkhw/edit?usp=sharing"",""เพชรบุรี!J489"")"),0)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IFERROR(__xludf.DUMMYFUNCTION("IMPORTRANGE(""https://docs.google.com/spreadsheets/d/1SX6NBoVAgQJ6U1MVXOaj8PK2l7WJ3RER9xtqwdhxkhw/edit?usp=sharing"",""เพชรบุรี!I490"")"),0)</f>
        <v>0</v>
      </c>
      <c r="J595" s="189">
        <f ca="1">IFERROR(__xludf.DUMMYFUNCTION("IMPORTRANGE(""https://docs.google.com/spreadsheets/d/1SX6NBoVAgQJ6U1MVXOaj8PK2l7WJ3RER9xtqwdhxkhw/edit?usp=sharing"",""เพชรบุรี!J490"")"),0)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7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IFERROR(__xludf.DUMMYFUNCTION("IMPORTRANGE(""https://docs.google.com/spreadsheets/d/1SX6NBoVAgQJ6U1MVXOaj8PK2l7WJ3RER9xtqwdhxkhw/edit?usp=sharing"",""เพชรบุรี!L493"")"),0)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IFERROR(__xludf.DUMMYFUNCTION("IMPORTRANGE(""https://docs.google.com/spreadsheets/d/1SX6NBoVAgQJ6U1MVXOaj8PK2l7WJ3RER9xtqwdhxkhw/edit?usp=sharing"",""เพชรบุรี!M493"")"),0)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IFERROR(__xludf.DUMMYFUNCTION("IMPORTRANGE(""https://docs.google.com/spreadsheets/d/1SX6NBoVAgQJ6U1MVXOaj8PK2l7WJ3RER9xtqwdhxkhw/edit?usp=sharing"",""เพชรบุรี!L494"")"),4550)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IFERROR(__xludf.DUMMYFUNCTION("IMPORTRANGE(""https://docs.google.com/spreadsheets/d/1SX6NBoVAgQJ6U1MVXOaj8PK2l7WJ3RER9xtqwdhxkhw/edit?usp=sharing"",""เพชรบุรี!M494"")"),950)</f>
        <v>950</v>
      </c>
      <c r="O599" s="170">
        <f t="shared" ca="1" si="126"/>
        <v>20.87912087912088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IFERROR(__xludf.DUMMYFUNCTION("IMPORTRANGE(""https://docs.google.com/spreadsheets/d/1SX6NBoVAgQJ6U1MVXOaj8PK2l7WJ3RER9xtqwdhxkhw/edit?usp=sharing"",""เพชรบุรี!L495"")"),0)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IFERROR(__xludf.DUMMYFUNCTION("IMPORTRANGE(""https://docs.google.com/spreadsheets/d/1SX6NBoVAgQJ6U1MVXOaj8PK2l7WJ3RER9xtqwdhxkhw/edit?usp=sharing"",""เพชรบุรี!M495"")"),0)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IFERROR(__xludf.DUMMYFUNCTION("IMPORTRANGE(""https://docs.google.com/spreadsheets/d/1SX6NBoVAgQJ6U1MVXOaj8PK2l7WJ3RER9xtqwdhxkhw/edit?usp=sharing"",""เพชรบุรี!L496"")"),4550)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IFERROR(__xludf.DUMMYFUNCTION("IMPORTRANGE(""https://docs.google.com/spreadsheets/d/1SX6NBoVAgQJ6U1MVXOaj8PK2l7WJ3RER9xtqwdhxkhw/edit?usp=sharing"",""เพชรบุรี!M496"")"),950)</f>
        <v>950</v>
      </c>
      <c r="O601" s="170">
        <f t="shared" ca="1" si="126"/>
        <v>20.87912087912088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IFERROR(__xludf.DUMMYFUNCTION("IMPORTRANGE(""https://docs.google.com/spreadsheets/d/1SX6NBoVAgQJ6U1MVXOaj8PK2l7WJ3RER9xtqwdhxkhw/edit?usp=sharing"",""เพชรบุรี!M497"")"),0)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IFERROR(__xludf.DUMMYFUNCTION("IMPORTRANGE(""https://docs.google.com/spreadsheets/d/1SX6NBoVAgQJ6U1MVXOaj8PK2l7WJ3RER9xtqwdhxkhw/edit?usp=sharing"",""เพชรบุรี!M498"")"),0)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IFERROR(__xludf.DUMMYFUNCTION("IMPORTRANGE(""https://docs.google.com/spreadsheets/d/1SX6NBoVAgQJ6U1MVXOaj8PK2l7WJ3RER9xtqwdhxkhw/edit?usp=sharing"",""เพชรบุรี!J502"")"),0)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IFERROR(__xludf.DUMMYFUNCTION("IMPORTRANGE(""https://docs.google.com/spreadsheets/d/1SX6NBoVAgQJ6U1MVXOaj8PK2l7WJ3RER9xtqwdhxkhw/edit?usp=sharing"",""เพชรบุรี!J503"")"),1)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IFERROR(__xludf.DUMMYFUNCTION("IMPORTRANGE(""https://docs.google.com/spreadsheets/d/1SX6NBoVAgQJ6U1MVXOaj8PK2l7WJ3RER9xtqwdhxkhw/edit?usp=sharing"",""เพชรบุรี!I506"")"),50)</f>
        <v>50</v>
      </c>
      <c r="J611" s="164">
        <f ca="1">IFERROR(__xludf.DUMMYFUNCTION("IMPORTRANGE(""https://docs.google.com/spreadsheets/d/1SX6NBoVAgQJ6U1MVXOaj8PK2l7WJ3RER9xtqwdhxkhw/edit?usp=sharing"",""เพชรบุรี!J506"")"),0)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IFERROR(__xludf.DUMMYFUNCTION("IMPORTRANGE(""https://docs.google.com/spreadsheets/d/1SX6NBoVAgQJ6U1MVXOaj8PK2l7WJ3RER9xtqwdhxkhw/edit?usp=sharing"",""เพชรบุรี!I507"")"),0)</f>
        <v>0</v>
      </c>
      <c r="J612" s="199">
        <f ca="1">IFERROR(__xludf.DUMMYFUNCTION("IMPORTRANGE(""https://docs.google.com/spreadsheets/d/1SX6NBoVAgQJ6U1MVXOaj8PK2l7WJ3RER9xtqwdhxkhw/edit?usp=sharing"",""เพชรบุรี!J507"")"),0)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IFERROR(__xludf.DUMMYFUNCTION("IMPORTRANGE(""https://docs.google.com/spreadsheets/d/1SX6NBoVAgQJ6U1MVXOaj8PK2l7WJ3RER9xtqwdhxkhw/edit?usp=sharing"",""เพชรบุรี!I508"")"),0)</f>
        <v>0</v>
      </c>
      <c r="J613" s="199">
        <f ca="1">IFERROR(__xludf.DUMMYFUNCTION("IMPORTRANGE(""https://docs.google.com/spreadsheets/d/1SX6NBoVAgQJ6U1MVXOaj8PK2l7WJ3RER9xtqwdhxkhw/edit?usp=sharing"",""เพชรบุรี!J508"")"),0)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IFERROR(__xludf.DUMMYFUNCTION("IMPORTRANGE(""https://docs.google.com/spreadsheets/d/1SX6NBoVAgQJ6U1MVXOaj8PK2l7WJ3RER9xtqwdhxkhw/edit?usp=sharing"",""เพชรบุรี!I509"")"),0)</f>
        <v>0</v>
      </c>
      <c r="J614" s="199">
        <f ca="1">IFERROR(__xludf.DUMMYFUNCTION("IMPORTRANGE(""https://docs.google.com/spreadsheets/d/1SX6NBoVAgQJ6U1MVXOaj8PK2l7WJ3RER9xtqwdhxkhw/edit?usp=sharing"",""เพชรบุรี!J509"")"),0)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IFERROR(__xludf.DUMMYFUNCTION("IMPORTRANGE(""https://docs.google.com/spreadsheets/d/1SX6NBoVAgQJ6U1MVXOaj8PK2l7WJ3RER9xtqwdhxkhw/edit?usp=sharing"",""เพชรบุรี!I510"")"),0)</f>
        <v>0</v>
      </c>
      <c r="J615" s="199">
        <f ca="1">IFERROR(__xludf.DUMMYFUNCTION("IMPORTRANGE(""https://docs.google.com/spreadsheets/d/1SX6NBoVAgQJ6U1MVXOaj8PK2l7WJ3RER9xtqwdhxkhw/edit?usp=sharing"",""เพชรบุรี!J510"")"),0)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IFERROR(__xludf.DUMMYFUNCTION("IMPORTRANGE(""https://docs.google.com/spreadsheets/d/1SX6NBoVAgQJ6U1MVXOaj8PK2l7WJ3RER9xtqwdhxkhw/edit?usp=sharing"",""เพชรบุรี!I511"")"),0)</f>
        <v>0</v>
      </c>
      <c r="J616" s="199">
        <f ca="1">IFERROR(__xludf.DUMMYFUNCTION("IMPORTRANGE(""https://docs.google.com/spreadsheets/d/1SX6NBoVAgQJ6U1MVXOaj8PK2l7WJ3RER9xtqwdhxkhw/edit?usp=sharing"",""เพชรบุรี!J511"")"),0)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IFERROR(__xludf.DUMMYFUNCTION("IMPORTRANGE(""https://docs.google.com/spreadsheets/d/1SX6NBoVAgQJ6U1MVXOaj8PK2l7WJ3RER9xtqwdhxkhw/edit?usp=sharing"",""เพชรบุรี!I512"")"),0)</f>
        <v>0</v>
      </c>
      <c r="J617" s="189">
        <f ca="1">IFERROR(__xludf.DUMMYFUNCTION("IMPORTRANGE(""https://docs.google.com/spreadsheets/d/1SX6NBoVAgQJ6U1MVXOaj8PK2l7WJ3RER9xtqwdhxkhw/edit?usp=sharing"",""เพชรบุรี!J512"")"),0)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IFERROR(__xludf.DUMMYFUNCTION("IMPORTRANGE(""https://docs.google.com/spreadsheets/d/1SX6NBoVAgQJ6U1MVXOaj8PK2l7WJ3RER9xtqwdhxkhw/edit?usp=sharing"",""เพชรบุรี!I513"")"),0)</f>
        <v>0</v>
      </c>
      <c r="J618" s="190">
        <f ca="1">IFERROR(__xludf.DUMMYFUNCTION("IMPORTRANGE(""https://docs.google.com/spreadsheets/d/1SX6NBoVAgQJ6U1MVXOaj8PK2l7WJ3RER9xtqwdhxkhw/edit?usp=sharing"",""เพชรบุรี!J513"")"),0)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IFERROR(__xludf.DUMMYFUNCTION("IMPORTRANGE(""https://docs.google.com/spreadsheets/d/1SX6NBoVAgQJ6U1MVXOaj8PK2l7WJ3RER9xtqwdhxkhw/edit?usp=sharing"",""เพชรบุรี!I514"")"),0)</f>
        <v>0</v>
      </c>
      <c r="J619" s="190">
        <f ca="1">IFERROR(__xludf.DUMMYFUNCTION("IMPORTRANGE(""https://docs.google.com/spreadsheets/d/1SX6NBoVAgQJ6U1MVXOaj8PK2l7WJ3RER9xtqwdhxkhw/edit?usp=sharing"",""เพชรบุรี!J514"")"),0)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IFERROR(__xludf.DUMMYFUNCTION("IMPORTRANGE(""https://docs.google.com/spreadsheets/d/1SX6NBoVAgQJ6U1MVXOaj8PK2l7WJ3RER9xtqwdhxkhw/edit?usp=sharing"",""เพชรบุรี!I515"")"),0)</f>
        <v>0</v>
      </c>
      <c r="J620" s="204">
        <f ca="1">IFERROR(__xludf.DUMMYFUNCTION("IMPORTRANGE(""https://docs.google.com/spreadsheets/d/1SX6NBoVAgQJ6U1MVXOaj8PK2l7WJ3RER9xtqwdhxkhw/edit?usp=sharing"",""เพชรบุรี!J515"")"),0)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IFERROR(__xludf.DUMMYFUNCTION("IMPORTRANGE(""https://docs.google.com/spreadsheets/d/1SX6NBoVAgQJ6U1MVXOaj8PK2l7WJ3RER9xtqwdhxkhw/edit?usp=sharing"",""เพชรบุรี!I516"")"),0)</f>
        <v>0</v>
      </c>
      <c r="J621" s="204">
        <f ca="1">IFERROR(__xludf.DUMMYFUNCTION("IMPORTRANGE(""https://docs.google.com/spreadsheets/d/1SX6NBoVAgQJ6U1MVXOaj8PK2l7WJ3RER9xtqwdhxkhw/edit?usp=sharing"",""เพชรบุรี!J516"")"),0)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IFERROR(__xludf.DUMMYFUNCTION("IMPORTRANGE(""https://docs.google.com/spreadsheets/d/1SX6NBoVAgQJ6U1MVXOaj8PK2l7WJ3RER9xtqwdhxkhw/edit?usp=sharing"",""เพชรบุรี!I517"")"),0)</f>
        <v>0</v>
      </c>
      <c r="J622" s="190">
        <f ca="1">IFERROR(__xludf.DUMMYFUNCTION("IMPORTRANGE(""https://docs.google.com/spreadsheets/d/1SX6NBoVAgQJ6U1MVXOaj8PK2l7WJ3RER9xtqwdhxkhw/edit?usp=sharing"",""เพชรบุรี!J517"")"),0)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IFERROR(__xludf.DUMMYFUNCTION("IMPORTRANGE(""https://docs.google.com/spreadsheets/d/1SX6NBoVAgQJ6U1MVXOaj8PK2l7WJ3RER9xtqwdhxkhw/edit?usp=sharing"",""เพชรบุรี!I518"")"),0)</f>
        <v>0</v>
      </c>
      <c r="J623" s="190">
        <f ca="1">IFERROR(__xludf.DUMMYFUNCTION("IMPORTRANGE(""https://docs.google.com/spreadsheets/d/1SX6NBoVAgQJ6U1MVXOaj8PK2l7WJ3RER9xtqwdhxkhw/edit?usp=sharing"",""เพชรบุรี!J518"")"),0)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IFERROR(__xludf.DUMMYFUNCTION("IMPORTRANGE(""https://docs.google.com/spreadsheets/d/1SX6NBoVAgQJ6U1MVXOaj8PK2l7WJ3RER9xtqwdhxkhw/edit?usp=sharing"",""เพชรบุรี!I519"")"),0)</f>
        <v>0</v>
      </c>
      <c r="J624" s="189">
        <f ca="1">IFERROR(__xludf.DUMMYFUNCTION("IMPORTRANGE(""https://docs.google.com/spreadsheets/d/1SX6NBoVAgQJ6U1MVXOaj8PK2l7WJ3RER9xtqwdhxkhw/edit?usp=sharing"",""เพชรบุรี!J519"")"),0)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IFERROR(__xludf.DUMMYFUNCTION("IMPORTRANGE(""https://docs.google.com/spreadsheets/d/1SX6NBoVAgQJ6U1MVXOaj8PK2l7WJ3RER9xtqwdhxkhw/edit?usp=sharing"",""เพชรบุรี!I520"")"),0)</f>
        <v>0</v>
      </c>
      <c r="J625" s="190">
        <f ca="1">IFERROR(__xludf.DUMMYFUNCTION("IMPORTRANGE(""https://docs.google.com/spreadsheets/d/1SX6NBoVAgQJ6U1MVXOaj8PK2l7WJ3RER9xtqwdhxkhw/edit?usp=sharing"",""เพชรบุรี!J520"")"),0)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IFERROR(__xludf.DUMMYFUNCTION("IMPORTRANGE(""https://docs.google.com/spreadsheets/d/1SX6NBoVAgQJ6U1MVXOaj8PK2l7WJ3RER9xtqwdhxkhw/edit?usp=sharing"",""เพชรบุรี!I521"")"),0)</f>
        <v>0</v>
      </c>
      <c r="J626" s="190">
        <f ca="1">IFERROR(__xludf.DUMMYFUNCTION("IMPORTRANGE(""https://docs.google.com/spreadsheets/d/1SX6NBoVAgQJ6U1MVXOaj8PK2l7WJ3RER9xtqwdhxkhw/edit?usp=sharing"",""เพชรบุรี!J521"")"),0)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1">
        <f ca="1">IFERROR(__xludf.DUMMYFUNCTION("IMPORTRANGE(""https://docs.google.com/spreadsheets/d/1SX6NBoVAgQJ6U1MVXOaj8PK2l7WJ3RER9xtqwdhxkhw/edit?usp=sharing"",""เพชรบุรี!J523"")"),323189.36)</f>
        <v>323189.36</v>
      </c>
      <c r="K628" s="342">
        <f t="shared" ref="K628:K635" ca="1" si="129">IF(I628&gt;0,J628*100/I628,0)</f>
        <v>28.133282295975654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IFERROR(__xludf.DUMMYFUNCTION("IMPORTRANGE(""https://docs.google.com/spreadsheets/d/1SX6NBoVAgQJ6U1MVXOaj8PK2l7WJ3RER9xtqwdhxkhw/edit?usp=sharing"",""เพชรบุรี!I524"")"),86)</f>
        <v>86</v>
      </c>
      <c r="J629" s="341">
        <f ca="1">IFERROR(__xludf.DUMMYFUNCTION("IMPORTRANGE(""https://docs.google.com/spreadsheets/d/1SX6NBoVAgQJ6U1MVXOaj8PK2l7WJ3RER9xtqwdhxkhw/edit?usp=sharing"",""เพชรบุรี!J524"")"),22)</f>
        <v>22</v>
      </c>
      <c r="K629" s="342">
        <f t="shared" ca="1" si="129"/>
        <v>25.581395348837209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1">
        <f ca="1">IFERROR(__xludf.DUMMYFUNCTION("IMPORTRANGE(""https://docs.google.com/spreadsheets/d/1SX6NBoVAgQJ6U1MVXOaj8PK2l7WJ3RER9xtqwdhxkhw/edit?usp=sharing"",""เพชรบุรี!J525"")"),188534.23)</f>
        <v>188534.23</v>
      </c>
      <c r="K630" s="342">
        <f t="shared" ca="1" si="129"/>
        <v>38.76521227492141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IFERROR(__xludf.DUMMYFUNCTION("IMPORTRANGE(""https://docs.google.com/spreadsheets/d/1SX6NBoVAgQJ6U1MVXOaj8PK2l7WJ3RER9xtqwdhxkhw/edit?usp=sharing"",""เพชรบุรี!I526"")"),21)</f>
        <v>21</v>
      </c>
      <c r="J631" s="341">
        <f ca="1">IFERROR(__xludf.DUMMYFUNCTION("IMPORTRANGE(""https://docs.google.com/spreadsheets/d/1SX6NBoVAgQJ6U1MVXOaj8PK2l7WJ3RER9xtqwdhxkhw/edit?usp=sharing"",""เพชรบุรี!J526"")"),10)</f>
        <v>10</v>
      </c>
      <c r="K631" s="342">
        <f t="shared" ca="1" si="129"/>
        <v>47.61904761904762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IFERROR(__xludf.DUMMYFUNCTION("IMPORTRANGE(""https://docs.google.com/spreadsheets/d/1SX6NBoVAgQJ6U1MVXOaj8PK2l7WJ3RER9xtqwdhxkhw/edit?usp=sharing"",""เพชรบุรี!I527"")"),1118.75)</f>
        <v>1118.75</v>
      </c>
      <c r="J632" s="341">
        <f ca="1">IFERROR(__xludf.DUMMYFUNCTION("IMPORTRANGE(""https://docs.google.com/spreadsheets/d/1SX6NBoVAgQJ6U1MVXOaj8PK2l7WJ3RER9xtqwdhxkhw/edit?usp=sharing"",""เพชรบุรี!J527"")"),212177.15)</f>
        <v>212177.15</v>
      </c>
      <c r="K632" s="342">
        <f t="shared" ca="1" si="129"/>
        <v>18965.55530726257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IFERROR(__xludf.DUMMYFUNCTION("IMPORTRANGE(""https://docs.google.com/spreadsheets/d/1SX6NBoVAgQJ6U1MVXOaj8PK2l7WJ3RER9xtqwdhxkhw/edit?usp=sharing"",""เพชรบุรี!I528"")"),1)</f>
        <v>1</v>
      </c>
      <c r="J633" s="341">
        <f ca="1">IFERROR(__xludf.DUMMYFUNCTION("IMPORTRANGE(""https://docs.google.com/spreadsheets/d/1SX6NBoVAgQJ6U1MVXOaj8PK2l7WJ3RER9xtqwdhxkhw/edit?usp=sharing"",""เพชรบุรี!J528"")"),12)</f>
        <v>12</v>
      </c>
      <c r="K633" s="342">
        <f t="shared" ca="1" si="129"/>
        <v>1200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IFERROR(__xludf.DUMMYFUNCTION("IMPORTRANGE(""https://docs.google.com/spreadsheets/d/1SX6NBoVAgQJ6U1MVXOaj8PK2l7WJ3RER9xtqwdhxkhw/edit?usp=sharing"",""เพชรบุรี!I529"")"),1200000)</f>
        <v>1200000</v>
      </c>
      <c r="J634" s="341">
        <f ca="1">IFERROR(__xludf.DUMMYFUNCTION("IMPORTRANGE(""https://docs.google.com/spreadsheets/d/1SX6NBoVAgQJ6U1MVXOaj8PK2l7WJ3RER9xtqwdhxkhw/edit?usp=sharing"",""เพชรบุรี!J529"")"),180000)</f>
        <v>180000</v>
      </c>
      <c r="K634" s="342">
        <f t="shared" ca="1" si="129"/>
        <v>15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IFERROR(__xludf.DUMMYFUNCTION("IMPORTRANGE(""https://docs.google.com/spreadsheets/d/1SX6NBoVAgQJ6U1MVXOaj8PK2l7WJ3RER9xtqwdhxkhw/edit?usp=sharing"",""เพชรบุรี!I530"")"),27)</f>
        <v>27</v>
      </c>
      <c r="J635" s="504">
        <f ca="1">IFERROR(__xludf.DUMMYFUNCTION("IMPORTRANGE(""https://docs.google.com/spreadsheets/d/1SX6NBoVAgQJ6U1MVXOaj8PK2l7WJ3RER9xtqwdhxkhw/edit?usp=sharing"",""เพชรบุรี!J530"")"),6)</f>
        <v>6</v>
      </c>
      <c r="K635" s="486">
        <f t="shared" ca="1" si="129"/>
        <v>22.222222222222221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264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3086894</v>
      </c>
      <c r="M8" s="23">
        <f t="shared" ca="1" si="0"/>
        <v>1125806</v>
      </c>
      <c r="N8" s="23">
        <f t="shared" ca="1" si="0"/>
        <v>1078089</v>
      </c>
      <c r="O8" s="22">
        <f t="shared" ref="O8:O16" ca="1" si="1">IF(L8&gt;0,N8*100/L8,0)</f>
        <v>34.924717207652741</v>
      </c>
      <c r="P8" s="22">
        <f t="shared" ref="P8:P16" ca="1" si="2">IF(M8&gt;0,N8*100/M8,0)</f>
        <v>95.761525520382733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3086894</v>
      </c>
      <c r="M10" s="30">
        <f t="shared" ca="1" si="4"/>
        <v>1125806</v>
      </c>
      <c r="N10" s="30">
        <f t="shared" ca="1" si="4"/>
        <v>1078089</v>
      </c>
      <c r="O10" s="29">
        <f t="shared" ca="1" si="1"/>
        <v>34.924717207652741</v>
      </c>
      <c r="P10" s="29">
        <f t="shared" ca="1" si="2"/>
        <v>95.761525520382733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2939894</v>
      </c>
      <c r="M12" s="38">
        <f t="shared" ca="1" si="6"/>
        <v>978806</v>
      </c>
      <c r="N12" s="38">
        <f t="shared" ca="1" si="6"/>
        <v>931089</v>
      </c>
      <c r="O12" s="38">
        <f t="shared" ca="1" si="1"/>
        <v>31.670835751220963</v>
      </c>
      <c r="P12" s="38">
        <f t="shared" ca="1" si="2"/>
        <v>95.124978800702081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1732894</v>
      </c>
      <c r="M14" s="38">
        <f t="shared" si="8"/>
        <v>0</v>
      </c>
      <c r="N14" s="38">
        <f t="shared" ca="1" si="8"/>
        <v>182367</v>
      </c>
      <c r="O14" s="38">
        <f t="shared" ca="1" si="1"/>
        <v>10.523840465718042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1125806</v>
      </c>
      <c r="N18" s="23">
        <f t="shared" ca="1" si="11"/>
        <v>895722</v>
      </c>
      <c r="O18" s="22">
        <f t="shared" ref="O18:O20" ca="1" si="12">IF(L18&gt;0,N18*100/L18,0)</f>
        <v>44.87483999609227</v>
      </c>
      <c r="P18" s="22">
        <f t="shared" ref="P18:P26" ca="1" si="13">IF(M18&gt;0,N18*100/M18,0)</f>
        <v>79.562731056682949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1125806</v>
      </c>
      <c r="N20" s="30">
        <f t="shared" ca="1" si="15"/>
        <v>895722</v>
      </c>
      <c r="O20" s="29">
        <f t="shared" ca="1" si="12"/>
        <v>44.87483999609227</v>
      </c>
      <c r="P20" s="29">
        <f t="shared" ca="1" si="13"/>
        <v>79.562731056682949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978806</v>
      </c>
      <c r="N22" s="38">
        <f t="shared" ca="1" si="18"/>
        <v>748722</v>
      </c>
      <c r="O22" s="38">
        <f t="shared" ca="1" si="17"/>
        <v>40.492362273497939</v>
      </c>
      <c r="P22" s="38">
        <f t="shared" ca="1" si="13"/>
        <v>76.493401143842604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1090849</v>
      </c>
      <c r="M28" s="23">
        <f t="shared" si="23"/>
        <v>0</v>
      </c>
      <c r="N28" s="23">
        <f t="shared" ca="1" si="23"/>
        <v>182367</v>
      </c>
      <c r="O28" s="22">
        <f t="shared" ref="O28:O30" ca="1" si="24">IF(L28&gt;0,N28*100/L28,0)</f>
        <v>16.71789587743125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1090849</v>
      </c>
      <c r="M30" s="30">
        <f t="shared" si="27"/>
        <v>0</v>
      </c>
      <c r="N30" s="30">
        <f t="shared" ca="1" si="27"/>
        <v>182367</v>
      </c>
      <c r="O30" s="29">
        <f t="shared" ca="1" si="24"/>
        <v>16.71789587743125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1090849</v>
      </c>
      <c r="M32" s="38">
        <f t="shared" si="30"/>
        <v>0</v>
      </c>
      <c r="N32" s="38">
        <f t="shared" ca="1" si="30"/>
        <v>182367</v>
      </c>
      <c r="O32" s="38">
        <f t="shared" ca="1" si="29"/>
        <v>16.71789587743125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1090849</v>
      </c>
      <c r="M34" s="38">
        <f t="shared" si="32"/>
        <v>0</v>
      </c>
      <c r="N34" s="38">
        <f t="shared" ca="1" si="32"/>
        <v>182367</v>
      </c>
      <c r="O34" s="38">
        <f t="shared" ca="1" si="29"/>
        <v>16.71789587743125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1125806</v>
      </c>
      <c r="N37" s="54">
        <f t="shared" ca="1" si="33"/>
        <v>895722</v>
      </c>
      <c r="O37" s="55">
        <f t="shared" ca="1" si="29"/>
        <v>44.87483999609227</v>
      </c>
      <c r="P37" s="55">
        <f t="shared" ca="1" si="25"/>
        <v>79.562731056682949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163900</v>
      </c>
      <c r="N41" s="78">
        <f t="shared" ca="1" si="34"/>
        <v>138842</v>
      </c>
      <c r="O41" s="77">
        <f t="shared" ref="O41:O43" ca="1" si="35">IF(L41&gt;0,N41*100/L41,0)</f>
        <v>44.245379222434671</v>
      </c>
      <c r="P41" s="77">
        <f t="shared" ref="P41:P43" ca="1" si="36">IF(M41&gt;0,N41*100/M41,0)</f>
        <v>84.711409395973149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163900</v>
      </c>
      <c r="N43" s="78">
        <f t="shared" ca="1" si="38"/>
        <v>138842</v>
      </c>
      <c r="O43" s="77">
        <f t="shared" ca="1" si="35"/>
        <v>44.245379222434671</v>
      </c>
      <c r="P43" s="77">
        <f t="shared" ca="1" si="36"/>
        <v>84.711409395973149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IFERROR(__xludf.DUMMYFUNCTION("IMPORTRANGE(""https://docs.google.com/spreadsheets/d/1Yj_ptqi66GCucihVvJfMjLAmec39IyEx_6qawtMGysU/edit?usp=sharing"",""สบก!Q72"")"),163900)</f>
        <v>163900</v>
      </c>
      <c r="N45" s="49">
        <f ca="1">IFERROR(__xludf.DUMMYFUNCTION("IMPORTRANGE(""https://docs.google.com/spreadsheets/d/1Yj_ptqi66GCucihVvJfMjLAmec39IyEx_6qawtMGysU/edit?usp=sharing"",""สบก!R72"")"),138842)</f>
        <v>138842</v>
      </c>
      <c r="O45" s="38">
        <f ca="1">IF(L45&gt;0,N45*100/L45,0)</f>
        <v>44.245379222434671</v>
      </c>
      <c r="P45" s="38">
        <f ca="1">IF(M45&gt;0,N45*100/M45,0)</f>
        <v>84.711409395973149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144471</v>
      </c>
      <c r="N53" s="121">
        <f t="shared" ca="1" si="39"/>
        <v>140661</v>
      </c>
      <c r="O53" s="120">
        <f t="shared" ref="O53:O55" ca="1" si="40">IF(L53&gt;0,N53*100/L53,0)</f>
        <v>50.236071428571428</v>
      </c>
      <c r="P53" s="120">
        <f t="shared" ref="P53:P55" ca="1" si="41">IF(M53&gt;0,N53*100/M53,0)</f>
        <v>97.362792532757439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144471</v>
      </c>
      <c r="N55" s="121">
        <f t="shared" ca="1" si="43"/>
        <v>140661</v>
      </c>
      <c r="O55" s="120">
        <f t="shared" ca="1" si="40"/>
        <v>50.236071428571428</v>
      </c>
      <c r="P55" s="120">
        <f t="shared" ca="1" si="41"/>
        <v>97.362792532757439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IFERROR(__xludf.DUMMYFUNCTION("IMPORTRANGE(""https://docs.google.com/spreadsheets/d/1Yj_ptqi66GCucihVvJfMjLAmec39IyEx_6qawtMGysU/edit?usp=sharing"",""สบก!Z72"")"),144471)</f>
        <v>144471</v>
      </c>
      <c r="N57" s="49">
        <f ca="1">IFERROR(__xludf.DUMMYFUNCTION("IMPORTRANGE(""https://docs.google.com/spreadsheets/d/1Yj_ptqi66GCucihVvJfMjLAmec39IyEx_6qawtMGysU/edit?usp=sharing"",""สบก!AA72"")"),140661)</f>
        <v>140661</v>
      </c>
      <c r="O57" s="38">
        <f ca="1">IF(L57&gt;0,N57*100/L57,0)</f>
        <v>50.236071428571428</v>
      </c>
      <c r="P57" s="38">
        <f ca="1">IF(M57&gt;0,N57*100/M57,0)</f>
        <v>97.362792532757439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IFERROR(__xludf.DUMMYFUNCTION("IMPORTRANGE(""https://docs.google.com/spreadsheets/d/1Yj_ptqi66GCucihVvJfMjLAmec39IyEx_6qawtMGysU/edit?usp=sharing"",""สบก!AI72"")"),0)</f>
        <v>0</v>
      </c>
      <c r="N70" s="170">
        <f ca="1">IFERROR(__xludf.DUMMYFUNCTION("IMPORTRANGE(""https://docs.google.com/spreadsheets/d/1Yj_ptqi66GCucihVvJfMjLAmec39IyEx_6qawtMGysU/edit?usp=sharing"",""สบก!AJ72"")"),0)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IFERROR(__xludf.DUMMYFUNCTION("IMPORTRANGE(""https://docs.google.com/spreadsheets/d/1Yj_ptqi66GCucihVvJfMjLAmec39IyEx_6qawtMGysU/edit?usp=sharing"",""สบก!AE72"")"),0)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IFERROR(__xludf.DUMMYFUNCTION("IMPORTRANGE(""https://docs.google.com/spreadsheets/d/1Yj_ptqi66GCucihVvJfMjLAmec39IyEx_6qawtMGysU/edit?usp=sharing"",""สบก!AF72"")"),0)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IFERROR(__xludf.DUMMYFUNCTION("IMPORTRANGE(""https://docs.google.com/spreadsheets/d/1SX6NBoVAgQJ6U1MVXOaj8PK2l7WJ3RER9xtqwdhxkhw/edit?usp=sharing"",""ระยอง!J16"")"),0)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IFERROR(__xludf.DUMMYFUNCTION("IMPORTRANGE(""https://docs.google.com/spreadsheets/d/1SX6NBoVAgQJ6U1MVXOaj8PK2l7WJ3RER9xtqwdhxkhw/edit?usp=sharing"",""ระยอง!J17"")"),0)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IFERROR(__xludf.DUMMYFUNCTION("IMPORTRANGE(""https://docs.google.com/spreadsheets/d/1SX6NBoVAgQJ6U1MVXOaj8PK2l7WJ3RER9xtqwdhxkhw/edit?usp=sharing"",""ระยอง!J18"")"),0)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IFERROR(__xludf.DUMMYFUNCTION("IMPORTRANGE(""https://docs.google.com/spreadsheets/d/1SX6NBoVAgQJ6U1MVXOaj8PK2l7WJ3RER9xtqwdhxkhw/edit?usp=sharing"",""ระยอง!J19"")"),0)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IFERROR(__xludf.DUMMYFUNCTION("IMPORTRANGE(""https://docs.google.com/spreadsheets/d/1SX6NBoVAgQJ6U1MVXOaj8PK2l7WJ3RER9xtqwdhxkhw/edit?usp=sharing"",""ระยอง!I20"")"),0)</f>
        <v>0</v>
      </c>
      <c r="J80" s="202">
        <f ca="1">IFERROR(__xludf.DUMMYFUNCTION("IMPORTRANGE(""https://docs.google.com/spreadsheets/d/1SX6NBoVAgQJ6U1MVXOaj8PK2l7WJ3RER9xtqwdhxkhw/edit?usp=sharing"",""ระยอง!J20"")"),0)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IFERROR(__xludf.DUMMYFUNCTION("IMPORTRANGE(""https://docs.google.com/spreadsheets/d/1SX6NBoVAgQJ6U1MVXOaj8PK2l7WJ3RER9xtqwdhxkhw/edit?usp=sharing"",""ระยอง!I21"")"),0)</f>
        <v>0</v>
      </c>
      <c r="J81" s="202">
        <f ca="1">IFERROR(__xludf.DUMMYFUNCTION("IMPORTRANGE(""https://docs.google.com/spreadsheets/d/1SX6NBoVAgQJ6U1MVXOaj8PK2l7WJ3RER9xtqwdhxkhw/edit?usp=sharing"",""ระยอง!J21"")"),0)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IFERROR(__xludf.DUMMYFUNCTION("IMPORTRANGE(""https://docs.google.com/spreadsheets/d/1SX6NBoVAgQJ6U1MVXOaj8PK2l7WJ3RER9xtqwdhxkhw/edit?usp=sharing"",""ระยอง!I22"")"),0)</f>
        <v>0</v>
      </c>
      <c r="J82" s="205">
        <f ca="1">IFERROR(__xludf.DUMMYFUNCTION("IMPORTRANGE(""https://docs.google.com/spreadsheets/d/1SX6NBoVAgQJ6U1MVXOaj8PK2l7WJ3RER9xtqwdhxkhw/edit?usp=sharing"",""ระยอง!J22"")"),0)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IFERROR(__xludf.DUMMYFUNCTION("IMPORTRANGE(""https://docs.google.com/spreadsheets/d/1SX6NBoVAgQJ6U1MVXOaj8PK2l7WJ3RER9xtqwdhxkhw/edit?usp=sharing"",""ระยอง!I23"")"),0)</f>
        <v>0</v>
      </c>
      <c r="J83" s="205">
        <f ca="1">IFERROR(__xludf.DUMMYFUNCTION("IMPORTRANGE(""https://docs.google.com/spreadsheets/d/1SX6NBoVAgQJ6U1MVXOaj8PK2l7WJ3RER9xtqwdhxkhw/edit?usp=sharing"",""ระยอง!J23"")"),0)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IFERROR(__xludf.DUMMYFUNCTION("IMPORTRANGE(""https://docs.google.com/spreadsheets/d/1SX6NBoVAgQJ6U1MVXOaj8PK2l7WJ3RER9xtqwdhxkhw/edit?usp=sharing"",""ระยอง!I24"")"),0)</f>
        <v>0</v>
      </c>
      <c r="J84" s="190">
        <f ca="1">IFERROR(__xludf.DUMMYFUNCTION("IMPORTRANGE(""https://docs.google.com/spreadsheets/d/1SX6NBoVAgQJ6U1MVXOaj8PK2l7WJ3RER9xtqwdhxkhw/edit?usp=sharing"",""ระยอง!J24"")"),0)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IFERROR(__xludf.DUMMYFUNCTION("IMPORTRANGE(""https://docs.google.com/spreadsheets/d/1SX6NBoVAgQJ6U1MVXOaj8PK2l7WJ3RER9xtqwdhxkhw/edit?usp=sharing"",""ระยอง!I25"")"),0)</f>
        <v>0</v>
      </c>
      <c r="J85" s="190">
        <f ca="1">IFERROR(__xludf.DUMMYFUNCTION("IMPORTRANGE(""https://docs.google.com/spreadsheets/d/1SX6NBoVAgQJ6U1MVXOaj8PK2l7WJ3RER9xtqwdhxkhw/edit?usp=sharing"",""ระยอง!J25"")"),0)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IFERROR(__xludf.DUMMYFUNCTION("IMPORTRANGE(""https://docs.google.com/spreadsheets/d/1SX6NBoVAgQJ6U1MVXOaj8PK2l7WJ3RER9xtqwdhxkhw/edit?usp=sharing"",""ระยอง!I26"")"),0)</f>
        <v>0</v>
      </c>
      <c r="J86" s="205">
        <f ca="1">IFERROR(__xludf.DUMMYFUNCTION("IMPORTRANGE(""https://docs.google.com/spreadsheets/d/1SX6NBoVAgQJ6U1MVXOaj8PK2l7WJ3RER9xtqwdhxkhw/edit?usp=sharing"",""ระยอง!J26"")"),0)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IFERROR(__xludf.DUMMYFUNCTION("IMPORTRANGE(""https://docs.google.com/spreadsheets/d/1SX6NBoVAgQJ6U1MVXOaj8PK2l7WJ3RER9xtqwdhxkhw/edit?usp=sharing"",""ระยอง!I27"")"),0)</f>
        <v>0</v>
      </c>
      <c r="J87" s="205">
        <f ca="1">IFERROR(__xludf.DUMMYFUNCTION("IMPORTRANGE(""https://docs.google.com/spreadsheets/d/1SX6NBoVAgQJ6U1MVXOaj8PK2l7WJ3RER9xtqwdhxkhw/edit?usp=sharing"",""ระยอง!J27"")"),0)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IFERROR(__xludf.DUMMYFUNCTION("IMPORTRANGE(""https://docs.google.com/spreadsheets/d/1SX6NBoVAgQJ6U1MVXOaj8PK2l7WJ3RER9xtqwdhxkhw/edit?usp=sharing"",""ระยอง!I28"")"),0)</f>
        <v>0</v>
      </c>
      <c r="J88" s="205">
        <f ca="1">IFERROR(__xludf.DUMMYFUNCTION("IMPORTRANGE(""https://docs.google.com/spreadsheets/d/1SX6NBoVAgQJ6U1MVXOaj8PK2l7WJ3RER9xtqwdhxkhw/edit?usp=sharing"",""ระยอง!J28"")"),0)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IFERROR(__xludf.DUMMYFUNCTION("IMPORTRANGE(""https://docs.google.com/spreadsheets/d/1SX6NBoVAgQJ6U1MVXOaj8PK2l7WJ3RER9xtqwdhxkhw/edit?usp=sharing"",""ระยอง!J29"")"),0)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IFERROR(__xludf.DUMMYFUNCTION("IMPORTRANGE(""https://docs.google.com/spreadsheets/d/1Yj_ptqi66GCucihVvJfMjLAmec39IyEx_6qawtMGysU/edit?usp=sharing"",""สบก!AR72"")"),0)</f>
        <v>0</v>
      </c>
      <c r="N98" s="170">
        <f ca="1">IFERROR(__xludf.DUMMYFUNCTION("IMPORTRANGE(""https://docs.google.com/spreadsheets/d/1Yj_ptqi66GCucihVvJfMjLAmec39IyEx_6qawtMGysU/edit?usp=sharing"",""สบก!AS72"")"),0)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IFERROR(__xludf.DUMMYFUNCTION("IMPORTRANGE(""https://docs.google.com/spreadsheets/d/1Yj_ptqi66GCucihVvJfMjLAmec39IyEx_6qawtMGysU/edit?usp=sharing"",""สบก!AN72"")"),0)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IFERROR(__xludf.DUMMYFUNCTION("IMPORTRANGE(""https://docs.google.com/spreadsheets/d/1Yj_ptqi66GCucihVvJfMjLAmec39IyEx_6qawtMGysU/edit?usp=sharing"",""สบก!AO72"")"),0)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IFERROR(__xludf.DUMMYFUNCTION("IMPORTRANGE(""https://docs.google.com/spreadsheets/d/1SX6NBoVAgQJ6U1MVXOaj8PK2l7WJ3RER9xtqwdhxkhw/edit?usp=sharing"",""ระยอง!I43"")"),0)</f>
        <v>0</v>
      </c>
      <c r="J108" s="205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IFERROR(__xludf.DUMMYFUNCTION("IMPORTRANGE(""https://docs.google.com/spreadsheets/d/1SX6NBoVAgQJ6U1MVXOaj8PK2l7WJ3RER9xtqwdhxkhw/edit?usp=sharing"",""ระยอง!I44"")"),0)</f>
        <v>0</v>
      </c>
      <c r="J109" s="205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IFERROR(__xludf.DUMMYFUNCTION("IMPORTRANGE(""https://docs.google.com/spreadsheets/d/1SX6NBoVAgQJ6U1MVXOaj8PK2l7WJ3RER9xtqwdhxkhw/edit?usp=sharing"",""ระยอง!I45"")"),0)</f>
        <v>0</v>
      </c>
      <c r="J110" s="205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IFERROR(__xludf.DUMMYFUNCTION("IMPORTRANGE(""https://docs.google.com/spreadsheets/d/1SX6NBoVAgQJ6U1MVXOaj8PK2l7WJ3RER9xtqwdhxkhw/edit?usp=sharing"",""ระยอง!I46"")"),0)</f>
        <v>0</v>
      </c>
      <c r="J111" s="205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IFERROR(__xludf.DUMMYFUNCTION("IMPORTRANGE(""https://docs.google.com/spreadsheets/d/1SX6NBoVAgQJ6U1MVXOaj8PK2l7WJ3RER9xtqwdhxkhw/edit?usp=sharing"",""ระยอง!I47"")"),0)</f>
        <v>0</v>
      </c>
      <c r="J112" s="205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IFERROR(__xludf.DUMMYFUNCTION("IMPORTRANGE(""https://docs.google.com/spreadsheets/d/1SX6NBoVAgQJ6U1MVXOaj8PK2l7WJ3RER9xtqwdhxkhw/edit?usp=sharing"",""ระยอง!I48"")"),0)</f>
        <v>0</v>
      </c>
      <c r="J113" s="205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IFERROR(__xludf.DUMMYFUNCTION("IMPORTRANGE(""https://docs.google.com/spreadsheets/d/1Yj_ptqi66GCucihVvJfMjLAmec39IyEx_6qawtMGysU/edit?usp=sharing"",""สบก!BA72"")"),0)</f>
        <v>0</v>
      </c>
      <c r="N122" s="170">
        <f ca="1">IFERROR(__xludf.DUMMYFUNCTION("IMPORTRANGE(""https://docs.google.com/spreadsheets/d/1Yj_ptqi66GCucihVvJfMjLAmec39IyEx_6qawtMGysU/edit?usp=sharing"",""สบก!BB72"")"),0)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IFERROR(__xludf.DUMMYFUNCTION("IMPORTRANGE(""https://docs.google.com/spreadsheets/d/1Yj_ptqi66GCucihVvJfMjLAmec39IyEx_6qawtMGysU/edit?usp=sharing"",""สบก!AW72"")"),0)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IFERROR(__xludf.DUMMYFUNCTION("IMPORTRANGE(""https://docs.google.com/spreadsheets/d/1Yj_ptqi66GCucihVvJfMjLAmec39IyEx_6qawtMGysU/edit?usp=sharing"",""สบก!AX72"")"),0)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265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IFERROR(__xludf.DUMMYFUNCTION("IMPORTRANGE(""https://docs.google.com/spreadsheets/d/1SX6NBoVAgQJ6U1MVXOaj8PK2l7WJ3RER9xtqwdhxkhw/edit?usp=sharing"",""ระยอง!I62"")"),0)</f>
        <v>0</v>
      </c>
      <c r="J132" s="205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IFERROR(__xludf.DUMMYFUNCTION("IMPORTRANGE(""https://docs.google.com/spreadsheets/d/1SX6NBoVAgQJ6U1MVXOaj8PK2l7WJ3RER9xtqwdhxkhw/edit?usp=sharing"",""ระยอง!I63"")"),0)</f>
        <v>0</v>
      </c>
      <c r="J133" s="205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340900</v>
      </c>
      <c r="M140" s="152">
        <f t="shared" ca="1" si="64"/>
        <v>187950</v>
      </c>
      <c r="N140" s="152">
        <f t="shared" ca="1" si="64"/>
        <v>123941</v>
      </c>
      <c r="O140" s="151">
        <f t="shared" ref="O140:O142" ca="1" si="65">IF(L140&gt;0,N140*100/L140,0)</f>
        <v>36.356996186564977</v>
      </c>
      <c r="P140" s="151">
        <f t="shared" ref="P140:P142" ca="1" si="66">IF(M140&gt;0,N140*100/M140,0)</f>
        <v>65.943602021814314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340900</v>
      </c>
      <c r="M142" s="157">
        <f t="shared" ca="1" si="68"/>
        <v>187950</v>
      </c>
      <c r="N142" s="157">
        <f t="shared" ca="1" si="68"/>
        <v>123941</v>
      </c>
      <c r="O142" s="156">
        <f t="shared" ca="1" si="65"/>
        <v>36.356996186564977</v>
      </c>
      <c r="P142" s="156">
        <f t="shared" ca="1" si="66"/>
        <v>65.943602021814314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340900</v>
      </c>
      <c r="M144" s="169">
        <f ca="1">IFERROR(__xludf.DUMMYFUNCTION("IMPORTRANGE(""https://docs.google.com/spreadsheets/d/1Yj_ptqi66GCucihVvJfMjLAmec39IyEx_6qawtMGysU/edit?usp=sharing"",""สบก!BJ72"")"),187950)</f>
        <v>187950</v>
      </c>
      <c r="N144" s="170">
        <f ca="1">IFERROR(__xludf.DUMMYFUNCTION("IMPORTRANGE(""https://docs.google.com/spreadsheets/d/1Yj_ptqi66GCucihVvJfMjLAmec39IyEx_6qawtMGysU/edit?usp=sharing"",""สบก!BK72"")"),123941)</f>
        <v>123941</v>
      </c>
      <c r="O144" s="170">
        <f ca="1">IF(L144&gt;0,N144*100/L144,0)</f>
        <v>36.356996186564977</v>
      </c>
      <c r="P144" s="170">
        <f ca="1">IF(M144&gt;0,N144*100/M144,0)</f>
        <v>65.943602021814314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IFERROR(__xludf.DUMMYFUNCTION("IMPORTRANGE(""https://docs.google.com/spreadsheets/d/1Yj_ptqi66GCucihVvJfMjLAmec39IyEx_6qawtMGysU/edit?usp=sharing"",""สบก!BF72"")"),232000)</f>
        <v>232000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IFERROR(__xludf.DUMMYFUNCTION("IMPORTRANGE(""https://docs.google.com/spreadsheets/d/1Yj_ptqi66GCucihVvJfMjLAmec39IyEx_6qawtMGysU/edit?usp=sharing"",""สบก!BG72"")"),108900)</f>
        <v>108900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IFERROR(__xludf.DUMMYFUNCTION("IMPORTRANGE(""https://docs.google.com/spreadsheets/d/1SX6NBoVAgQJ6U1MVXOaj8PK2l7WJ3RER9xtqwdhxkhw/edit?usp=sharing"",""ระยอง!J79"")"),0)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IFERROR(__xludf.DUMMYFUNCTION("IMPORTRANGE(""https://docs.google.com/spreadsheets/d/1SX6NBoVAgQJ6U1MVXOaj8PK2l7WJ3RER9xtqwdhxkhw/edit?usp=sharing"",""ระยอง!J80"")"),1)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IFERROR(__xludf.DUMMYFUNCTION("IMPORTRANGE(""https://docs.google.com/spreadsheets/d/1SX6NBoVAgQJ6U1MVXOaj8PK2l7WJ3RER9xtqwdhxkhw/edit?usp=sharing"",""ระยอง!J81"")"),1)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IFERROR(__xludf.DUMMYFUNCTION("IMPORTRANGE(""https://docs.google.com/spreadsheets/d/1SX6NBoVAgQJ6U1MVXOaj8PK2l7WJ3RER9xtqwdhxkhw/edit?usp=sharing"",""ระยอง!J82"")"),1)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IFERROR(__xludf.DUMMYFUNCTION("IMPORTRANGE(""https://docs.google.com/spreadsheets/d/1SX6NBoVAgQJ6U1MVXOaj8PK2l7WJ3RER9xtqwdhxkhw/edit?usp=sharing"",""ระยอง!I83"")"),4)</f>
        <v>4</v>
      </c>
      <c r="J158" s="190">
        <f ca="1">IFERROR(__xludf.DUMMYFUNCTION("IMPORTRANGE(""https://docs.google.com/spreadsheets/d/1SX6NBoVAgQJ6U1MVXOaj8PK2l7WJ3RER9xtqwdhxkhw/edit?usp=sharing"",""ระยอง!J83"")"),1)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IFERROR(__xludf.DUMMYFUNCTION("IMPORTRANGE(""https://docs.google.com/spreadsheets/d/1SX6NBoVAgQJ6U1MVXOaj8PK2l7WJ3RER9xtqwdhxkhw/edit?usp=sharing"",""ระยอง!J84"")"),0)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IFERROR(__xludf.DUMMYFUNCTION("IMPORTRANGE(""https://docs.google.com/spreadsheets/d/1SX6NBoVAgQJ6U1MVXOaj8PK2l7WJ3RER9xtqwdhxkhw/edit?usp=sharing"",""ระยอง!J85"")"),0)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IFERROR(__xludf.DUMMYFUNCTION("IMPORTRANGE(""https://docs.google.com/spreadsheets/d/1SX6NBoVAgQJ6U1MVXOaj8PK2l7WJ3RER9xtqwdhxkhw/edit?usp=sharing"",""ระยอง!J86"")"),0)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IFERROR(__xludf.DUMMYFUNCTION("IMPORTRANGE(""https://docs.google.com/spreadsheets/d/1SX6NBoVAgQJ6U1MVXOaj8PK2l7WJ3RER9xtqwdhxkhw/edit?usp=sharing"",""ระยอง!J87"")"),0)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IFERROR(__xludf.DUMMYFUNCTION("IMPORTRANGE(""https://docs.google.com/spreadsheets/d/1SX6NBoVAgQJ6U1MVXOaj8PK2l7WJ3RER9xtqwdhxkhw/edit?usp=sharing"",""ระยอง!J88"")"),0)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IFERROR(__xludf.DUMMYFUNCTION("IMPORTRANGE(""https://docs.google.com/spreadsheets/d/1SX6NBoVAgQJ6U1MVXOaj8PK2l7WJ3RER9xtqwdhxkhw/edit?usp=sharing"",""ระยอง!I89"")"),1)</f>
        <v>1</v>
      </c>
      <c r="J164" s="284">
        <f ca="1">IFERROR(__xludf.DUMMYFUNCTION("IMPORTRANGE(""https://docs.google.com/spreadsheets/d/1SX6NBoVAgQJ6U1MVXOaj8PK2l7WJ3RER9xtqwdhxkhw/edit?usp=sharing"",""ระยอง!J89"")"),0)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IFERROR(__xludf.DUMMYFUNCTION("IMPORTRANGE(""https://docs.google.com/spreadsheets/d/1SX6NBoVAgQJ6U1MVXOaj8PK2l7WJ3RER9xtqwdhxkhw/edit?usp=sharing"",""ระยอง!J94"")"),0)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IFERROR(__xludf.DUMMYFUNCTION("IMPORTRANGE(""https://docs.google.com/spreadsheets/d/1SX6NBoVAgQJ6U1MVXOaj8PK2l7WJ3RER9xtqwdhxkhw/edit?usp=sharing"",""ระยอง!J95"")"),1)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IFERROR(__xludf.DUMMYFUNCTION("IMPORTRANGE(""https://docs.google.com/spreadsheets/d/1SX6NBoVAgQJ6U1MVXOaj8PK2l7WJ3RER9xtqwdhxkhw/edit?usp=sharing"",""ระยอง!J96"")"),1)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IFERROR(__xludf.DUMMYFUNCTION("IMPORTRANGE(""https://docs.google.com/spreadsheets/d/1SX6NBoVAgQJ6U1MVXOaj8PK2l7WJ3RER9xtqwdhxkhw/edit?usp=sharing"",""ระยอง!J97"")"),0)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IFERROR(__xludf.DUMMYFUNCTION("IMPORTRANGE(""https://docs.google.com/spreadsheets/d/1SX6NBoVAgQJ6U1MVXOaj8PK2l7WJ3RER9xtqwdhxkhw/edit?usp=sharing"",""ระยอง!I98"")"),1)</f>
        <v>1</v>
      </c>
      <c r="J173" s="190">
        <f ca="1">IFERROR(__xludf.DUMMYFUNCTION("IMPORTRANGE(""https://docs.google.com/spreadsheets/d/1SX6NBoVAgQJ6U1MVXOaj8PK2l7WJ3RER9xtqwdhxkhw/edit?usp=sharing"",""ระยอง!J98"")"),0)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IFERROR(__xludf.DUMMYFUNCTION("IMPORTRANGE(""https://docs.google.com/spreadsheets/d/1SX6NBoVAgQJ6U1MVXOaj8PK2l7WJ3RER9xtqwdhxkhw/edit?usp=sharing"",""ระยอง!J99"")"),0)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IFERROR(__xludf.DUMMYFUNCTION("IMPORTRANGE(""https://docs.google.com/spreadsheets/d/1SX6NBoVAgQJ6U1MVXOaj8PK2l7WJ3RER9xtqwdhxkhw/edit?usp=sharing"",""ระยอง!J100"")"),0)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IFERROR(__xludf.DUMMYFUNCTION("IMPORTRANGE(""https://docs.google.com/spreadsheets/d/1SX6NBoVAgQJ6U1MVXOaj8PK2l7WJ3RER9xtqwdhxkhw/edit?usp=sharing"",""ระยอง!I101"")"),0)</f>
        <v>0</v>
      </c>
      <c r="J176" s="284">
        <f ca="1">IFERROR(__xludf.DUMMYFUNCTION("IMPORTRANGE(""https://docs.google.com/spreadsheets/d/1SX6NBoVAgQJ6U1MVXOaj8PK2l7WJ3RER9xtqwdhxkhw/edit?usp=sharing"",""ระยอง!J101"")"),0)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IFERROR(__xludf.DUMMYFUNCTION("IMPORTRANGE(""https://docs.google.com/spreadsheets/d/1SX6NBoVAgQJ6U1MVXOaj8PK2l7WJ3RER9xtqwdhxkhw/edit?usp=sharing"",""ระยอง!I110"")"),0)</f>
        <v>0</v>
      </c>
      <c r="J185" s="205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IFERROR(__xludf.DUMMYFUNCTION("IMPORTRANGE(""https://docs.google.com/spreadsheets/d/1SX6NBoVAgQJ6U1MVXOaj8PK2l7WJ3RER9xtqwdhxkhw/edit?usp=sharing"",""ระยอง!I111"")"),0)</f>
        <v>0</v>
      </c>
      <c r="J186" s="205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IFERROR(__xludf.DUMMYFUNCTION("IMPORTRANGE(""https://docs.google.com/spreadsheets/d/1SX6NBoVAgQJ6U1MVXOaj8PK2l7WJ3RER9xtqwdhxkhw/edit?usp=sharing"",""ระยอง!I114"")"),6400)</f>
        <v>6400</v>
      </c>
      <c r="J189" s="284">
        <f ca="1">IFERROR(__xludf.DUMMYFUNCTION("IMPORTRANGE(""https://docs.google.com/spreadsheets/d/1SX6NBoVAgQJ6U1MVXOaj8PK2l7WJ3RER9xtqwdhxkhw/edit?usp=sharing"",""ระยอง!J114"")"),0)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IFERROR(__xludf.DUMMYFUNCTION("IMPORTRANGE(""https://docs.google.com/spreadsheets/d/1SX6NBoVAgQJ6U1MVXOaj8PK2l7WJ3RER9xtqwdhxkhw/edit?usp=sharing"",""ระยอง!J119"")"),0)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IFERROR(__xludf.DUMMYFUNCTION("IMPORTRANGE(""https://docs.google.com/spreadsheets/d/1SX6NBoVAgQJ6U1MVXOaj8PK2l7WJ3RER9xtqwdhxkhw/edit?usp=sharing"",""ระยอง!J120"")"),1)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IFERROR(__xludf.DUMMYFUNCTION("IMPORTRANGE(""https://docs.google.com/spreadsheets/d/1SX6NBoVAgQJ6U1MVXOaj8PK2l7WJ3RER9xtqwdhxkhw/edit?usp=sharing"",""ระยอง!J121"")"),1)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IFERROR(__xludf.DUMMYFUNCTION("IMPORTRANGE(""https://docs.google.com/spreadsheets/d/1SX6NBoVAgQJ6U1MVXOaj8PK2l7WJ3RER9xtqwdhxkhw/edit?usp=sharing"",""ระยอง!J122"")"),0)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IFERROR(__xludf.DUMMYFUNCTION("IMPORTRANGE(""https://docs.google.com/spreadsheets/d/1SX6NBoVAgQJ6U1MVXOaj8PK2l7WJ3RER9xtqwdhxkhw/edit?usp=sharing"",""ระยอง!I124"")"),6400)</f>
        <v>6400</v>
      </c>
      <c r="J199" s="190">
        <f ca="1">IFERROR(__xludf.DUMMYFUNCTION("IMPORTRANGE(""https://docs.google.com/spreadsheets/d/1SX6NBoVAgQJ6U1MVXOaj8PK2l7WJ3RER9xtqwdhxkhw/edit?usp=sharing"",""ระยอง!J124"")"),0)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IFERROR(__xludf.DUMMYFUNCTION("IMPORTRANGE(""https://docs.google.com/spreadsheets/d/1SX6NBoVAgQJ6U1MVXOaj8PK2l7WJ3RER9xtqwdhxkhw/edit?usp=sharing"",""ระยอง!I125"")"),6400)</f>
        <v>6400</v>
      </c>
      <c r="J200" s="190">
        <f ca="1">IFERROR(__xludf.DUMMYFUNCTION("IMPORTRANGE(""https://docs.google.com/spreadsheets/d/1SX6NBoVAgQJ6U1MVXOaj8PK2l7WJ3RER9xtqwdhxkhw/edit?usp=sharing"",""ระยอง!J125"")"),0)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IFERROR(__xludf.DUMMYFUNCTION("IMPORTRANGE(""https://docs.google.com/spreadsheets/d/1SX6NBoVAgQJ6U1MVXOaj8PK2l7WJ3RER9xtqwdhxkhw/edit?usp=sharing"",""ระยอง!I126"")"),0)</f>
        <v>0</v>
      </c>
      <c r="J201" s="190">
        <f ca="1">IFERROR(__xludf.DUMMYFUNCTION("IMPORTRANGE(""https://docs.google.com/spreadsheets/d/1SX6NBoVAgQJ6U1MVXOaj8PK2l7WJ3RER9xtqwdhxkhw/edit?usp=sharing"",""ระยอง!J126"")"),0)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IFERROR(__xludf.DUMMYFUNCTION("IMPORTRANGE(""https://docs.google.com/spreadsheets/d/1SX6NBoVAgQJ6U1MVXOaj8PK2l7WJ3RER9xtqwdhxkhw/edit?usp=sharing"",""ระยอง!J127"")"),0)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IFERROR(__xludf.DUMMYFUNCTION("IMPORTRANGE(""https://docs.google.com/spreadsheets/d/1SX6NBoVAgQJ6U1MVXOaj8PK2l7WJ3RER9xtqwdhxkhw/edit?usp=sharing"",""ระยอง!J128"")"),0)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IFERROR(__xludf.DUMMYFUNCTION("IMPORTRANGE(""https://docs.google.com/spreadsheets/d/1SX6NBoVAgQJ6U1MVXOaj8PK2l7WJ3RER9xtqwdhxkhw/edit?usp=sharing"",""ระยอง!I129"")"),20)</f>
        <v>20</v>
      </c>
      <c r="J204" s="284">
        <f ca="1">IFERROR(__xludf.DUMMYFUNCTION("IMPORTRANGE(""https://docs.google.com/spreadsheets/d/1SX6NBoVAgQJ6U1MVXOaj8PK2l7WJ3RER9xtqwdhxkhw/edit?usp=sharing"",""ระยอง!J129"")"),20)</f>
        <v>20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IFERROR(__xludf.DUMMYFUNCTION("IMPORTRANGE(""https://docs.google.com/spreadsheets/d/1SX6NBoVAgQJ6U1MVXOaj8PK2l7WJ3RER9xtqwdhxkhw/edit?usp=sharing"",""ระยอง!J135"")"),1)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IFERROR(__xludf.DUMMYFUNCTION("IMPORTRANGE(""https://docs.google.com/spreadsheets/d/1SX6NBoVAgQJ6U1MVXOaj8PK2l7WJ3RER9xtqwdhxkhw/edit?usp=sharing"",""ระยอง!J136"")"),1)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IFERROR(__xludf.DUMMYFUNCTION("IMPORTRANGE(""https://docs.google.com/spreadsheets/d/1SX6NBoVAgQJ6U1MVXOaj8PK2l7WJ3RER9xtqwdhxkhw/edit?usp=sharing"",""ระยอง!J137"")"),0)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IFERROR(__xludf.DUMMYFUNCTION("IMPORTRANGE(""https://docs.google.com/spreadsheets/d/1SX6NBoVAgQJ6U1MVXOaj8PK2l7WJ3RER9xtqwdhxkhw/edit?usp=sharing"",""ระยอง!I138"")"),20)</f>
        <v>20</v>
      </c>
      <c r="J213" s="205">
        <f ca="1">IFERROR(__xludf.DUMMYFUNCTION("IMPORTRANGE(""https://docs.google.com/spreadsheets/d/1SX6NBoVAgQJ6U1MVXOaj8PK2l7WJ3RER9xtqwdhxkhw/edit?usp=sharing"",""ระยอง!J138"")"),20)</f>
        <v>20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IFERROR(__xludf.DUMMYFUNCTION("IMPORTRANGE(""https://docs.google.com/spreadsheets/d/1SX6NBoVAgQJ6U1MVXOaj8PK2l7WJ3RER9xtqwdhxkhw/edit?usp=sharing"",""ระยอง!I140"")"),20)</f>
        <v>20</v>
      </c>
      <c r="J215" s="205">
        <f ca="1">IFERROR(__xludf.DUMMYFUNCTION("IMPORTRANGE(""https://docs.google.com/spreadsheets/d/1SX6NBoVAgQJ6U1MVXOaj8PK2l7WJ3RER9xtqwdhxkhw/edit?usp=sharing"",""ระยอง!J140"")"),0)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IFERROR(__xludf.DUMMYFUNCTION("IMPORTRANGE(""https://docs.google.com/spreadsheets/d/1SX6NBoVAgQJ6U1MVXOaj8PK2l7WJ3RER9xtqwdhxkhw/edit?usp=sharing"",""ระยอง!I141"")"),0)</f>
        <v>0</v>
      </c>
      <c r="J216" s="205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IFERROR(__xludf.DUMMYFUNCTION("IMPORTRANGE(""https://docs.google.com/spreadsheets/d/1Yj_ptqi66GCucihVvJfMjLAmec39IyEx_6qawtMGysU/edit?usp=sharing"",""สบก!BS72"")"),21125)</f>
        <v>21125</v>
      </c>
      <c r="N224" s="170">
        <f ca="1">IFERROR(__xludf.DUMMYFUNCTION("IMPORTRANGE(""https://docs.google.com/spreadsheets/d/1Yj_ptqi66GCucihVvJfMjLAmec39IyEx_6qawtMGysU/edit?usp=sharing"",""สบก!BT72"")"),21125)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IFERROR(__xludf.DUMMYFUNCTION("IMPORTRANGE(""https://docs.google.com/spreadsheets/d/1Yj_ptqi66GCucihVvJfMjLAmec39IyEx_6qawtMGysU/edit?usp=sharing"",""สบก!BO72"")"),0)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IFERROR(__xludf.DUMMYFUNCTION("IMPORTRANGE(""https://docs.google.com/spreadsheets/d/1Yj_ptqi66GCucihVvJfMjLAmec39IyEx_6qawtMGysU/edit?usp=sharing"",""สบก!BP72"")"),21125)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IFERROR(__xludf.DUMMYFUNCTION("IMPORTRANGE(""https://docs.google.com/spreadsheets/d/1SX6NBoVAgQJ6U1MVXOaj8PK2l7WJ3RER9xtqwdhxkhw/edit?usp=sharing"",""ระยอง!J151"")"),0)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IFERROR(__xludf.DUMMYFUNCTION("IMPORTRANGE(""https://docs.google.com/spreadsheets/d/1SX6NBoVAgQJ6U1MVXOaj8PK2l7WJ3RER9xtqwdhxkhw/edit?usp=sharing"",""ระยอง!J152"")"),1)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IFERROR(__xludf.DUMMYFUNCTION("IMPORTRANGE(""https://docs.google.com/spreadsheets/d/1SX6NBoVAgQJ6U1MVXOaj8PK2l7WJ3RER9xtqwdhxkhw/edit?usp=sharing"",""ระยอง!J153"")"),1)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IFERROR(__xludf.DUMMYFUNCTION("IMPORTRANGE(""https://docs.google.com/spreadsheets/d/1SX6NBoVAgQJ6U1MVXOaj8PK2l7WJ3RER9xtqwdhxkhw/edit?usp=sharing"",""ระยอง!J154"")"),1)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IFERROR(__xludf.DUMMYFUNCTION("IMPORTRANGE(""https://docs.google.com/spreadsheets/d/1SX6NBoVAgQJ6U1MVXOaj8PK2l7WJ3RER9xtqwdhxkhw/edit?usp=sharing"",""ระยอง!I155"")"),15)</f>
        <v>15</v>
      </c>
      <c r="J235" s="190">
        <f ca="1">IFERROR(__xludf.DUMMYFUNCTION("IMPORTRANGE(""https://docs.google.com/spreadsheets/d/1SX6NBoVAgQJ6U1MVXOaj8PK2l7WJ3RER9xtqwdhxkhw/edit?usp=sharing"",""ระยอง!J155"")"),15)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IFERROR(__xludf.DUMMYFUNCTION("IMPORTRANGE(""https://docs.google.com/spreadsheets/d/1SX6NBoVAgQJ6U1MVXOaj8PK2l7WJ3RER9xtqwdhxkhw/edit?usp=sharing"",""ระยอง!J156"")"),0)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IFERROR(__xludf.DUMMYFUNCTION("IMPORTRANGE(""https://docs.google.com/spreadsheets/d/1SX6NBoVAgQJ6U1MVXOaj8PK2l7WJ3RER9xtqwdhxkhw/edit?usp=sharing"",""ระยอง!J157"")"),0)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IFERROR(__xludf.DUMMYFUNCTION("IMPORTRANGE(""https://docs.google.com/spreadsheets/d/1SX6NBoVAgQJ6U1MVXOaj8PK2l7WJ3RER9xtqwdhxkhw/edit?usp=sharing"",""ระยอง!J159"")"),"")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IFERROR(__xludf.DUMMYFUNCTION("IMPORTRANGE(""https://docs.google.com/spreadsheets/d/1SX6NBoVAgQJ6U1MVXOaj8PK2l7WJ3RER9xtqwdhxkhw/edit?usp=sharing"",""ระยอง!J161"")"),0)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IFERROR(__xludf.DUMMYFUNCTION("IMPORTRANGE(""https://docs.google.com/spreadsheets/d/1SX6NBoVAgQJ6U1MVXOaj8PK2l7WJ3RER9xtqwdhxkhw/edit?usp=sharing"",""ระยอง!J162"")"),0)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IFERROR(__xludf.DUMMYFUNCTION("IMPORTRANGE(""https://docs.google.com/spreadsheets/d/1SX6NBoVAgQJ6U1MVXOaj8PK2l7WJ3RER9xtqwdhxkhw/edit?usp=sharing"",""ระยอง!J163"")"),0)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IFERROR(__xludf.DUMMYFUNCTION("IMPORTRANGE(""https://docs.google.com/spreadsheets/d/1SX6NBoVAgQJ6U1MVXOaj8PK2l7WJ3RER9xtqwdhxkhw/edit?usp=sharing"",""ระยอง!I164"")"),0)</f>
        <v>0</v>
      </c>
      <c r="J244" s="189">
        <f ca="1">IFERROR(__xludf.DUMMYFUNCTION("IMPORTRANGE(""https://docs.google.com/spreadsheets/d/1SX6NBoVAgQJ6U1MVXOaj8PK2l7WJ3RER9xtqwdhxkhw/edit?usp=sharing"",""ระยอง!J164"")"),0)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IFERROR(__xludf.DUMMYFUNCTION("IMPORTRANGE(""https://docs.google.com/spreadsheets/d/1SX6NBoVAgQJ6U1MVXOaj8PK2l7WJ3RER9xtqwdhxkhw/edit?usp=sharing"",""ระยอง!J165"")"),0)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IFERROR(__xludf.DUMMYFUNCTION("IMPORTRANGE(""https://docs.google.com/spreadsheets/d/1SX6NBoVAgQJ6U1MVXOaj8PK2l7WJ3RER9xtqwdhxkhw/edit?usp=sharing"",""ระยอง!I169"")"),25)</f>
        <v>25</v>
      </c>
      <c r="J249" s="316">
        <f ca="1">IFERROR(__xludf.DUMMYFUNCTION("IMPORTRANGE(""https://docs.google.com/spreadsheets/d/1SX6NBoVAgQJ6U1MVXOaj8PK2l7WJ3RER9xtqwdhxkhw/edit?usp=sharing"",""ระยอง!J169"")"),0)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199000</v>
      </c>
      <c r="M250" s="152">
        <f t="shared" ca="1" si="77"/>
        <v>97500</v>
      </c>
      <c r="N250" s="152">
        <f t="shared" ca="1" si="77"/>
        <v>36703</v>
      </c>
      <c r="O250" s="151">
        <f t="shared" ref="O250:O252" ca="1" si="78">IF(L250&gt;0,N250*100/L250,0)</f>
        <v>18.443718592964824</v>
      </c>
      <c r="P250" s="151">
        <f t="shared" ref="P250:P252" ca="1" si="79">IF(M250&gt;0,N250*100/M250,0)</f>
        <v>37.644102564102567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199000</v>
      </c>
      <c r="M252" s="157">
        <f t="shared" ca="1" si="81"/>
        <v>97500</v>
      </c>
      <c r="N252" s="157">
        <f t="shared" ca="1" si="81"/>
        <v>36703</v>
      </c>
      <c r="O252" s="156">
        <f t="shared" ca="1" si="78"/>
        <v>18.443718592964824</v>
      </c>
      <c r="P252" s="156">
        <f t="shared" ca="1" si="79"/>
        <v>37.644102564102567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199000</v>
      </c>
      <c r="M254" s="169">
        <f ca="1">IFERROR(__xludf.DUMMYFUNCTION("IMPORTRANGE(""https://docs.google.com/spreadsheets/d/1Yj_ptqi66GCucihVvJfMjLAmec39IyEx_6qawtMGysU/edit?usp=sharing"",""สบก!CB72"")"),97500)</f>
        <v>97500</v>
      </c>
      <c r="N254" s="170">
        <f ca="1">IFERROR(__xludf.DUMMYFUNCTION("IMPORTRANGE(""https://docs.google.com/spreadsheets/d/1Yj_ptqi66GCucihVvJfMjLAmec39IyEx_6qawtMGysU/edit?usp=sharing"",""สบก!CC72"")"),36703)</f>
        <v>36703</v>
      </c>
      <c r="O254" s="170">
        <f ca="1">IF(L254&gt;0,N254*100/L254,0)</f>
        <v>18.443718592964824</v>
      </c>
      <c r="P254" s="170">
        <f ca="1">IF(M254&gt;0,N254*100/M254,0)</f>
        <v>37.644102564102567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IFERROR(__xludf.DUMMYFUNCTION("IMPORTRANGE(""https://docs.google.com/spreadsheets/d/1Yj_ptqi66GCucihVvJfMjLAmec39IyEx_6qawtMGysU/edit?usp=sharing"",""สบก!BX72"")"),0)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IFERROR(__xludf.DUMMYFUNCTION("IMPORTRANGE(""https://docs.google.com/spreadsheets/d/1Yj_ptqi66GCucihVvJfMjLAmec39IyEx_6qawtMGysU/edit?usp=sharing"",""สบก!BY72"")"),199000)</f>
        <v>199000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IFERROR(__xludf.DUMMYFUNCTION("IMPORTRANGE(""https://docs.google.com/spreadsheets/d/1SX6NBoVAgQJ6U1MVXOaj8PK2l7WJ3RER9xtqwdhxkhw/edit?usp=sharing"",""ระยอง!J175"")"),0)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IFERROR(__xludf.DUMMYFUNCTION("IMPORTRANGE(""https://docs.google.com/spreadsheets/d/1SX6NBoVAgQJ6U1MVXOaj8PK2l7WJ3RER9xtqwdhxkhw/edit?usp=sharing"",""ระยอง!J176"")"),1)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IFERROR(__xludf.DUMMYFUNCTION("IMPORTRANGE(""https://docs.google.com/spreadsheets/d/1SX6NBoVAgQJ6U1MVXOaj8PK2l7WJ3RER9xtqwdhxkhw/edit?usp=sharing"",""ระยอง!J177"")"),1)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IFERROR(__xludf.DUMMYFUNCTION("IMPORTRANGE(""https://docs.google.com/spreadsheets/d/1SX6NBoVAgQJ6U1MVXOaj8PK2l7WJ3RER9xtqwdhxkhw/edit?usp=sharing"",""ระยอง!J178"")"),1)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IFERROR(__xludf.DUMMYFUNCTION("IMPORTRANGE(""https://docs.google.com/spreadsheets/d/1SX6NBoVAgQJ6U1MVXOaj8PK2l7WJ3RER9xtqwdhxkhw/edit?usp=sharing"",""ระยอง!I179"")"),1)</f>
        <v>1</v>
      </c>
      <c r="J264" s="190">
        <f ca="1">IFERROR(__xludf.DUMMYFUNCTION("IMPORTRANGE(""https://docs.google.com/spreadsheets/d/1SX6NBoVAgQJ6U1MVXOaj8PK2l7WJ3RER9xtqwdhxkhw/edit?usp=sharing"",""ระยอง!J179"")"),0)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IFERROR(__xludf.DUMMYFUNCTION("IMPORTRANGE(""https://docs.google.com/spreadsheets/d/1SX6NBoVAgQJ6U1MVXOaj8PK2l7WJ3RER9xtqwdhxkhw/edit?usp=sharing"",""ระยอง!I180"")"),25)</f>
        <v>25</v>
      </c>
      <c r="J265" s="190">
        <f ca="1">IFERROR(__xludf.DUMMYFUNCTION("IMPORTRANGE(""https://docs.google.com/spreadsheets/d/1SX6NBoVAgQJ6U1MVXOaj8PK2l7WJ3RER9xtqwdhxkhw/edit?usp=sharing"",""ระยอง!J180"")"),0)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IFERROR(__xludf.DUMMYFUNCTION("IMPORTRANGE(""https://docs.google.com/spreadsheets/d/1SX6NBoVAgQJ6U1MVXOaj8PK2l7WJ3RER9xtqwdhxkhw/edit?usp=sharing"",""ระยอง!I181"")"),25)</f>
        <v>25</v>
      </c>
      <c r="J266" s="190">
        <f ca="1">IFERROR(__xludf.DUMMYFUNCTION("IMPORTRANGE(""https://docs.google.com/spreadsheets/d/1SX6NBoVAgQJ6U1MVXOaj8PK2l7WJ3RER9xtqwdhxkhw/edit?usp=sharing"",""ระยอง!J181"")"),0)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IFERROR(__xludf.DUMMYFUNCTION("IMPORTRANGE(""https://docs.google.com/spreadsheets/d/1SX6NBoVAgQJ6U1MVXOaj8PK2l7WJ3RER9xtqwdhxkhw/edit?usp=sharing"",""ระยอง!I182"")"),1)</f>
        <v>1</v>
      </c>
      <c r="J267" s="190">
        <f ca="1">IFERROR(__xludf.DUMMYFUNCTION("IMPORTRANGE(""https://docs.google.com/spreadsheets/d/1SX6NBoVAgQJ6U1MVXOaj8PK2l7WJ3RER9xtqwdhxkhw/edit?usp=sharing"",""ระยอง!J182"")"),0)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IFERROR(__xludf.DUMMYFUNCTION("IMPORTRANGE(""https://docs.google.com/spreadsheets/d/1SX6NBoVAgQJ6U1MVXOaj8PK2l7WJ3RER9xtqwdhxkhw/edit?usp=sharing"",""ระยอง!J183"")"),0)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IFERROR(__xludf.DUMMYFUNCTION("IMPORTRANGE(""https://docs.google.com/spreadsheets/d/1SX6NBoVAgQJ6U1MVXOaj8PK2l7WJ3RER9xtqwdhxkhw/edit?usp=sharing"",""ระยอง!J184"")"),0)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IFERROR(__xludf.DUMMYFUNCTION("IMPORTRANGE(""https://docs.google.com/spreadsheets/d/1SX6NBoVAgQJ6U1MVXOaj8PK2l7WJ3RER9xtqwdhxkhw/edit?usp=sharing"",""ระยอง!I185"")"),15)</f>
        <v>15</v>
      </c>
      <c r="J270" s="316">
        <f ca="1">IFERROR(__xludf.DUMMYFUNCTION("IMPORTRANGE(""https://docs.google.com/spreadsheets/d/1SX6NBoVAgQJ6U1MVXOaj8PK2l7WJ3RER9xtqwdhxkhw/edit?usp=sharing"",""ระยอง!J185"")"),15)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29710</v>
      </c>
      <c r="O271" s="151">
        <f t="shared" ref="O271:O273" ca="1" si="84">IF(L271&gt;0,N271*100/L271,0)</f>
        <v>53.822463768115945</v>
      </c>
      <c r="P271" s="151">
        <f t="shared" ref="P271:P273" ca="1" si="85">IF(M271&gt;0,N271*100/M271,0)</f>
        <v>92.124031007751938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29710</v>
      </c>
      <c r="O273" s="156">
        <f t="shared" ca="1" si="84"/>
        <v>53.822463768115945</v>
      </c>
      <c r="P273" s="156">
        <f t="shared" ca="1" si="85"/>
        <v>92.124031007751938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IFERROR(__xludf.DUMMYFUNCTION("IMPORTRANGE(""https://docs.google.com/spreadsheets/d/1Yj_ptqi66GCucihVvJfMjLAmec39IyEx_6qawtMGysU/edit?usp=sharing"",""สบก!CK72"")"),32250)</f>
        <v>32250</v>
      </c>
      <c r="N275" s="170">
        <f ca="1">IFERROR(__xludf.DUMMYFUNCTION("IMPORTRANGE(""https://docs.google.com/spreadsheets/d/1Yj_ptqi66GCucihVvJfMjLAmec39IyEx_6qawtMGysU/edit?usp=sharing"",""สบก!CL72"")"),29710)</f>
        <v>29710</v>
      </c>
      <c r="O275" s="170">
        <f ca="1">IF(L275&gt;0,N275*100/L275,0)</f>
        <v>53.822463768115945</v>
      </c>
      <c r="P275" s="170">
        <f ca="1">IF(M275&gt;0,N275*100/M275,0)</f>
        <v>92.124031007751938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IFERROR(__xludf.DUMMYFUNCTION("IMPORTRANGE(""https://docs.google.com/spreadsheets/d/1Yj_ptqi66GCucihVvJfMjLAmec39IyEx_6qawtMGysU/edit?usp=sharing"",""สบก!CG72"")"),0)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IFERROR(__xludf.DUMMYFUNCTION("IMPORTRANGE(""https://docs.google.com/spreadsheets/d/1Yj_ptqi66GCucihVvJfMjLAmec39IyEx_6qawtMGysU/edit?usp=sharing"",""สบก!CH72"")"),55200)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IFERROR(__xludf.DUMMYFUNCTION("IMPORTRANGE(""https://docs.google.com/spreadsheets/d/1SX6NBoVAgQJ6U1MVXOaj8PK2l7WJ3RER9xtqwdhxkhw/edit?usp=sharing"",""ระยอง!J191"")"),0)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IFERROR(__xludf.DUMMYFUNCTION("IMPORTRANGE(""https://docs.google.com/spreadsheets/d/1SX6NBoVAgQJ6U1MVXOaj8PK2l7WJ3RER9xtqwdhxkhw/edit?usp=sharing"",""ระยอง!J192"")"),1)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IFERROR(__xludf.DUMMYFUNCTION("IMPORTRANGE(""https://docs.google.com/spreadsheets/d/1SX6NBoVAgQJ6U1MVXOaj8PK2l7WJ3RER9xtqwdhxkhw/edit?usp=sharing"",""ระยอง!J193"")"),1)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IFERROR(__xludf.DUMMYFUNCTION("IMPORTRANGE(""https://docs.google.com/spreadsheets/d/1SX6NBoVAgQJ6U1MVXOaj8PK2l7WJ3RER9xtqwdhxkhw/edit?usp=sharing"",""ระยอง!J194"")"),1)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IFERROR(__xludf.DUMMYFUNCTION("IMPORTRANGE(""https://docs.google.com/spreadsheets/d/1SX6NBoVAgQJ6U1MVXOaj8PK2l7WJ3RER9xtqwdhxkhw/edit?usp=sharing"",""ระยอง!I195"")"),15)</f>
        <v>15</v>
      </c>
      <c r="J285" s="190">
        <f ca="1">IFERROR(__xludf.DUMMYFUNCTION("IMPORTRANGE(""https://docs.google.com/spreadsheets/d/1SX6NBoVAgQJ6U1MVXOaj8PK2l7WJ3RER9xtqwdhxkhw/edit?usp=sharing"",""ระยอง!J195"")"),15)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IFERROR(__xludf.DUMMYFUNCTION("IMPORTRANGE(""https://docs.google.com/spreadsheets/d/1SX6NBoVAgQJ6U1MVXOaj8PK2l7WJ3RER9xtqwdhxkhw/edit?usp=sharing"",""ระยอง!J196"")"),0)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IFERROR(__xludf.DUMMYFUNCTION("IMPORTRANGE(""https://docs.google.com/spreadsheets/d/1SX6NBoVAgQJ6U1MVXOaj8PK2l7WJ3RER9xtqwdhxkhw/edit?usp=sharing"",""ระยอง!J197"")"),0)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IFERROR(__xludf.DUMMYFUNCTION("IMPORTRANGE(""https://docs.google.com/spreadsheets/d/1SX6NBoVAgQJ6U1MVXOaj8PK2l7WJ3RER9xtqwdhxkhw/edit?usp=sharing"",""ระยอง!I199"")"),0)</f>
        <v>0</v>
      </c>
      <c r="J289" s="316">
        <f ca="1">IFERROR(__xludf.DUMMYFUNCTION("IMPORTRANGE(""https://docs.google.com/spreadsheets/d/1SX6NBoVAgQJ6U1MVXOaj8PK2l7WJ3RER9xtqwdhxkhw/edit?usp=sharing"",""ระยอง!J199"")"),0)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IFERROR(__xludf.DUMMYFUNCTION("IMPORTRANGE(""https://docs.google.com/spreadsheets/d/1Yj_ptqi66GCucihVvJfMjLAmec39IyEx_6qawtMGysU/edit?usp=sharing"",""สบก!CT72"")"),0)</f>
        <v>0</v>
      </c>
      <c r="N294" s="170">
        <f ca="1">IFERROR(__xludf.DUMMYFUNCTION("IMPORTRANGE(""https://docs.google.com/spreadsheets/d/1Yj_ptqi66GCucihVvJfMjLAmec39IyEx_6qawtMGysU/edit?usp=sharing"",""สบก!CU72"")"),0)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IFERROR(__xludf.DUMMYFUNCTION("IMPORTRANGE(""https://docs.google.com/spreadsheets/d/1Yj_ptqi66GCucihVvJfMjLAmec39IyEx_6qawtMGysU/edit?usp=sharing"",""สบก!CP72"")"),0)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IFERROR(__xludf.DUMMYFUNCTION("IMPORTRANGE(""https://docs.google.com/spreadsheets/d/1Yj_ptqi66GCucihVvJfMjLAmec39IyEx_6qawtMGysU/edit?usp=sharing"",""สบก!CQ72"")"),0)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IFERROR(__xludf.DUMMYFUNCTION("IMPORTRANGE(""https://docs.google.com/spreadsheets/d/1SX6NBoVAgQJ6U1MVXOaj8PK2l7WJ3RER9xtqwdhxkhw/edit?usp=sharing"",""ระยอง!I209"")"),0)</f>
        <v>0</v>
      </c>
      <c r="J304" s="205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IFERROR(__xludf.DUMMYFUNCTION("IMPORTRANGE(""https://docs.google.com/spreadsheets/d/1SX6NBoVAgQJ6U1MVXOaj8PK2l7WJ3RER9xtqwdhxkhw/edit?usp=sharing"",""ระยอง!I211"")"),0)</f>
        <v>0</v>
      </c>
      <c r="J306" s="205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IFERROR(__xludf.DUMMYFUNCTION("IMPORTRANGE(""https://docs.google.com/spreadsheets/d/1SX6NBoVAgQJ6U1MVXOaj8PK2l7WJ3RER9xtqwdhxkhw/edit?usp=sharing"",""ระยอง!I214"")"),0)</f>
        <v>0</v>
      </c>
      <c r="J309" s="333">
        <f ca="1">IFERROR(__xludf.DUMMYFUNCTION("IMPORTRANGE(""https://docs.google.com/spreadsheets/d/1SX6NBoVAgQJ6U1MVXOaj8PK2l7WJ3RER9xtqwdhxkhw/edit?usp=sharing"",""ระยอง!J214"")"),0)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IFERROR(__xludf.DUMMYFUNCTION("IMPORTRANGE(""https://docs.google.com/spreadsheets/d/1Yj_ptqi66GCucihVvJfMjLAmec39IyEx_6qawtMGysU/edit?usp=sharing"",""สบก!DC72"")"),0)</f>
        <v>0</v>
      </c>
      <c r="N314" s="170">
        <f ca="1">IFERROR(__xludf.DUMMYFUNCTION("IMPORTRANGE(""https://docs.google.com/spreadsheets/d/1Yj_ptqi66GCucihVvJfMjLAmec39IyEx_6qawtMGysU/edit?usp=sharing"",""สบก!DD72"")"),0)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IFERROR(__xludf.DUMMYFUNCTION("IMPORTRANGE(""https://docs.google.com/spreadsheets/d/1Yj_ptqi66GCucihVvJfMjLAmec39IyEx_6qawtMGysU/edit?usp=sharing"",""สบก!CY72"")"),0)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IFERROR(__xludf.DUMMYFUNCTION("IMPORTRANGE(""https://docs.google.com/spreadsheets/d/1Yj_ptqi66GCucihVvJfMjLAmec39IyEx_6qawtMGysU/edit?usp=sharing"",""สบก!CZ72"")"),0)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IFERROR(__xludf.DUMMYFUNCTION("IMPORTRANGE(""https://docs.google.com/spreadsheets/d/1SX6NBoVAgQJ6U1MVXOaj8PK2l7WJ3RER9xtqwdhxkhw/edit?usp=sharing"",""ระยอง!I224"")"),0)</f>
        <v>0</v>
      </c>
      <c r="J324" s="205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IFERROR(__xludf.DUMMYFUNCTION("IMPORTRANGE(""https://docs.google.com/spreadsheets/d/1SX6NBoVAgQJ6U1MVXOaj8PK2l7WJ3RER9xtqwdhxkhw/edit?usp=sharing"",""ระยอง!I228"")"),62)</f>
        <v>62</v>
      </c>
      <c r="J328" s="339">
        <f ca="1">IFERROR(__xludf.DUMMYFUNCTION("IMPORTRANGE(""https://docs.google.com/spreadsheets/d/1SX6NBoVAgQJ6U1MVXOaj8PK2l7WJ3RER9xtqwdhxkhw/edit?usp=sharing"",""ระยอง!J228"")"),1)</f>
        <v>1</v>
      </c>
      <c r="K328" s="317">
        <f ca="1">IF(I328&gt;0,J328*100/I328,0)</f>
        <v>1.6129032258064515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786020</v>
      </c>
      <c r="M329" s="152">
        <f t="shared" ca="1" si="98"/>
        <v>478610</v>
      </c>
      <c r="N329" s="152">
        <f t="shared" ca="1" si="98"/>
        <v>404740</v>
      </c>
      <c r="O329" s="151">
        <f t="shared" ref="O329:O331" ca="1" si="99">IF(L329&gt;0,N329*100/L329,0)</f>
        <v>51.492328439479913</v>
      </c>
      <c r="P329" s="151">
        <f t="shared" ref="P329:P331" ca="1" si="100">IF(M329&gt;0,N329*100/M329,0)</f>
        <v>84.565721568709392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786020</v>
      </c>
      <c r="M331" s="157">
        <f t="shared" ca="1" si="102"/>
        <v>478610</v>
      </c>
      <c r="N331" s="157">
        <f t="shared" ca="1" si="102"/>
        <v>404740</v>
      </c>
      <c r="O331" s="156">
        <f t="shared" ca="1" si="99"/>
        <v>51.492328439479913</v>
      </c>
      <c r="P331" s="156">
        <f t="shared" ca="1" si="100"/>
        <v>84.565721568709392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639020</v>
      </c>
      <c r="M333" s="169">
        <f ca="1">IFERROR(__xludf.DUMMYFUNCTION("IMPORTRANGE(""https://docs.google.com/spreadsheets/d/1Yj_ptqi66GCucihVvJfMjLAmec39IyEx_6qawtMGysU/edit?usp=sharing"",""สบก!DL72"")"),331610)</f>
        <v>331610</v>
      </c>
      <c r="N333" s="170">
        <f ca="1">IFERROR(__xludf.DUMMYFUNCTION("IMPORTRANGE(""https://docs.google.com/spreadsheets/d/1Yj_ptqi66GCucihVvJfMjLAmec39IyEx_6qawtMGysU/edit?usp=sharing"",""สบก!DM72"")"),257740)</f>
        <v>257740</v>
      </c>
      <c r="O333" s="170">
        <f ca="1">IF(L333&gt;0,N333*100/L333,0)</f>
        <v>40.333635879941163</v>
      </c>
      <c r="P333" s="170">
        <f ca="1">IF(M333&gt;0,N333*100/M333,0)</f>
        <v>77.723832212538824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IFERROR(__xludf.DUMMYFUNCTION("IMPORTRANGE(""https://docs.google.com/spreadsheets/d/1Yj_ptqi66GCucihVvJfMjLAmec39IyEx_6qawtMGysU/edit?usp=sharing"",""สบก!DH72"")"),381200)</f>
        <v>381200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IFERROR(__xludf.DUMMYFUNCTION("IMPORTRANGE(""https://docs.google.com/spreadsheets/d/1Yj_ptqi66GCucihVvJfMjLAmec39IyEx_6qawtMGysU/edit?usp=sharing"",""สบก!DI72"")"),257820)</f>
        <v>257820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IFERROR(__xludf.DUMMYFUNCTION("IMPORTRANGE(""https://docs.google.com/spreadsheets/d/1SX6NBoVAgQJ6U1MVXOaj8PK2l7WJ3RER9xtqwdhxkhw/edit?usp=sharing"",""ระยอง!I234"")"),0)</f>
        <v>0</v>
      </c>
      <c r="J339" s="189">
        <f ca="1">IFERROR(__xludf.DUMMYFUNCTION("IMPORTRANGE(""https://docs.google.com/spreadsheets/d/1SX6NBoVAgQJ6U1MVXOaj8PK2l7WJ3RER9xtqwdhxkhw/edit?usp=sharing"",""ระยอง!J234"")"),63)</f>
        <v>63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IFERROR(__xludf.DUMMYFUNCTION("IMPORTRANGE(""https://docs.google.com/spreadsheets/d/1SX6NBoVAgQJ6U1MVXOaj8PK2l7WJ3RER9xtqwdhxkhw/edit?usp=sharing"",""ระยอง!I235"")"),775)</f>
        <v>775</v>
      </c>
      <c r="J340" s="189">
        <f ca="1">IFERROR(__xludf.DUMMYFUNCTION("IMPORTRANGE(""https://docs.google.com/spreadsheets/d/1SX6NBoVAgQJ6U1MVXOaj8PK2l7WJ3RER9xtqwdhxkhw/edit?usp=sharing"",""ระยอง!J235"")"),283.039999999999)</f>
        <v>283.039999999999</v>
      </c>
      <c r="K340" s="342">
        <f t="shared" ca="1" si="103"/>
        <v>36.521290322580512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IFERROR(__xludf.DUMMYFUNCTION("IMPORTRANGE(""https://docs.google.com/spreadsheets/d/1SX6NBoVAgQJ6U1MVXOaj8PK2l7WJ3RER9xtqwdhxkhw/edit?usp=sharing"",""ระยอง!I236"")"),62)</f>
        <v>62</v>
      </c>
      <c r="J341" s="189">
        <f ca="1">IFERROR(__xludf.DUMMYFUNCTION("IMPORTRANGE(""https://docs.google.com/spreadsheets/d/1SX6NBoVAgQJ6U1MVXOaj8PK2l7WJ3RER9xtqwdhxkhw/edit?usp=sharing"",""ระยอง!J236"")"),33)</f>
        <v>33</v>
      </c>
      <c r="K341" s="342">
        <f t="shared" ca="1" si="103"/>
        <v>53.225806451612904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9">
        <f ca="1">IFERROR(__xludf.DUMMYFUNCTION("IMPORTRANGE(""https://docs.google.com/spreadsheets/d/1SX6NBoVAgQJ6U1MVXOaj8PK2l7WJ3RER9xtqwdhxkhw/edit?usp=sharing"",""ระยอง!J237"")"),302.98)</f>
        <v>302.98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IFERROR(__xludf.DUMMYFUNCTION("IMPORTRANGE(""https://docs.google.com/spreadsheets/d/1SX6NBoVAgQJ6U1MVXOaj8PK2l7WJ3RER9xtqwdhxkhw/edit?usp=sharing"",""ระยอง!I238"")"),62)</f>
        <v>62</v>
      </c>
      <c r="J343" s="189">
        <f ca="1">IFERROR(__xludf.DUMMYFUNCTION("IMPORTRANGE(""https://docs.google.com/spreadsheets/d/1SX6NBoVAgQJ6U1MVXOaj8PK2l7WJ3RER9xtqwdhxkhw/edit?usp=sharing"",""ระยอง!J238"")"),0)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9">
        <f ca="1">IFERROR(__xludf.DUMMYFUNCTION("IMPORTRANGE(""https://docs.google.com/spreadsheets/d/1SX6NBoVAgQJ6U1MVXOaj8PK2l7WJ3RER9xtqwdhxkhw/edit?usp=sharing"",""ระยอง!J239"")"),0)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IFERROR(__xludf.DUMMYFUNCTION("IMPORTRANGE(""https://docs.google.com/spreadsheets/d/1SX6NBoVAgQJ6U1MVXOaj8PK2l7WJ3RER9xtqwdhxkhw/edit?usp=sharing"",""ระยอง!I240"")"),62)</f>
        <v>62</v>
      </c>
      <c r="J345" s="189">
        <f ca="1">IFERROR(__xludf.DUMMYFUNCTION("IMPORTRANGE(""https://docs.google.com/spreadsheets/d/1SX6NBoVAgQJ6U1MVXOaj8PK2l7WJ3RER9xtqwdhxkhw/edit?usp=sharing"",""ระยอง!J240"")"),1)</f>
        <v>1</v>
      </c>
      <c r="K345" s="342">
        <f t="shared" ca="1" si="103"/>
        <v>1.6129032258064515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9">
        <f ca="1">IFERROR(__xludf.DUMMYFUNCTION("IMPORTRANGE(""https://docs.google.com/spreadsheets/d/1SX6NBoVAgQJ6U1MVXOaj8PK2l7WJ3RER9xtqwdhxkhw/edit?usp=sharing"",""ระยอง!J241"")"),17.58)</f>
        <v>17.579999999999998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IFERROR(__xludf.DUMMYFUNCTION("IMPORTRANGE(""https://docs.google.com/spreadsheets/d/1SX6NBoVAgQJ6U1MVXOaj8PK2l7WJ3RER9xtqwdhxkhw/edit?usp=sharing"",""ระยอง!L242"")"),1090849)</f>
        <v>1090849</v>
      </c>
      <c r="M347" s="358"/>
      <c r="N347" s="358">
        <f ca="1">IFERROR(__xludf.DUMMYFUNCTION("IMPORTRANGE(""https://docs.google.com/spreadsheets/d/1SX6NBoVAgQJ6U1MVXOaj8PK2l7WJ3RER9xtqwdhxkhw/edit?usp=sharing"",""ระยอง!M242"")"),182367)</f>
        <v>182367</v>
      </c>
      <c r="O347" s="358">
        <f ca="1">+IF(L347&gt;0,N347*100/L347,0)</f>
        <v>16.71789587743125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IFERROR(__xludf.DUMMYFUNCTION("IMPORTRANGE(""https://docs.google.com/spreadsheets/d/1SX6NBoVAgQJ6U1MVXOaj8PK2l7WJ3RER9xtqwdhxkhw/edit?usp=sharing"",""ระยอง!M244"")"),47923)</f>
        <v>47923</v>
      </c>
      <c r="O349" s="373">
        <f ca="1">+IF(L349&gt;0,N349*100/L349,0)</f>
        <v>17.081194753350442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IFERROR(__xludf.DUMMYFUNCTION("IMPORTRANGE(""https://docs.google.com/spreadsheets/d/1SX6NBoVAgQJ6U1MVXOaj8PK2l7WJ3RER9xtqwdhxkhw/edit?usp=sharing"",""ระยอง!L246"")"),0)</f>
        <v>0</v>
      </c>
      <c r="M351" s="166"/>
      <c r="N351" s="166">
        <f ca="1">IFERROR(__xludf.DUMMYFUNCTION("IMPORTRANGE(""https://docs.google.com/spreadsheets/d/1SX6NBoVAgQJ6U1MVXOaj8PK2l7WJ3RER9xtqwdhxkhw/edit?usp=sharing"",""ระยอง!M246"")"),0)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IFERROR(__xludf.DUMMYFUNCTION("IMPORTRANGE(""https://docs.google.com/spreadsheets/d/1SX6NBoVAgQJ6U1MVXOaj8PK2l7WJ3RER9xtqwdhxkhw/edit?usp=sharing"",""ระยอง!L247"")"),280560)</f>
        <v>280560</v>
      </c>
      <c r="M352" s="167"/>
      <c r="N352" s="166">
        <f ca="1">IFERROR(__xludf.DUMMYFUNCTION("IMPORTRANGE(""https://docs.google.com/spreadsheets/d/1SX6NBoVAgQJ6U1MVXOaj8PK2l7WJ3RER9xtqwdhxkhw/edit?usp=sharing"",""ระยอง!M247"")"),47923)</f>
        <v>47923</v>
      </c>
      <c r="O352" s="167">
        <f t="shared" ca="1" si="105"/>
        <v>17.081194753350442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IFERROR(__xludf.DUMMYFUNCTION("IMPORTRANGE(""https://docs.google.com/spreadsheets/d/1SX6NBoVAgQJ6U1MVXOaj8PK2l7WJ3RER9xtqwdhxkhw/edit?usp=sharing"",""ระยอง!L248"")"),0)</f>
        <v>0</v>
      </c>
      <c r="M353" s="170"/>
      <c r="N353" s="170">
        <f ca="1">IFERROR(__xludf.DUMMYFUNCTION("IMPORTRANGE(""https://docs.google.com/spreadsheets/d/1SX6NBoVAgQJ6U1MVXOaj8PK2l7WJ3RER9xtqwdhxkhw/edit?usp=sharing"",""ระยอง!M248"")"),0)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IFERROR(__xludf.DUMMYFUNCTION("IMPORTRANGE(""https://docs.google.com/spreadsheets/d/1SX6NBoVAgQJ6U1MVXOaj8PK2l7WJ3RER9xtqwdhxkhw/edit?usp=sharing"",""ระยอง!L249"")"),280560)</f>
        <v>280560</v>
      </c>
      <c r="M354" s="170"/>
      <c r="N354" s="169">
        <f ca="1">IFERROR(__xludf.DUMMYFUNCTION("IMPORTRANGE(""https://docs.google.com/spreadsheets/d/1SX6NBoVAgQJ6U1MVXOaj8PK2l7WJ3RER9xtqwdhxkhw/edit?usp=sharing"",""ระยอง!M249"")"),47923)</f>
        <v>47923</v>
      </c>
      <c r="O354" s="170">
        <f t="shared" ca="1" si="105"/>
        <v>17.081194753350442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IFERROR(__xludf.DUMMYFUNCTION("IMPORTRANGE(""https://docs.google.com/spreadsheets/d/1SX6NBoVAgQJ6U1MVXOaj8PK2l7WJ3RER9xtqwdhxkhw/edit?usp=sharing"",""ระยอง!M250"")"),9560)</f>
        <v>9560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IFERROR(__xludf.DUMMYFUNCTION("IMPORTRANGE(""https://docs.google.com/spreadsheets/d/1SX6NBoVAgQJ6U1MVXOaj8PK2l7WJ3RER9xtqwdhxkhw/edit?usp=sharing"",""ระยอง!M251"")"),0)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IFERROR(__xludf.DUMMYFUNCTION("IMPORTRANGE(""https://docs.google.com/spreadsheets/d/1SX6NBoVAgQJ6U1MVXOaj8PK2l7WJ3RER9xtqwdhxkhw/edit?usp=sharing"",""ระยอง!M252"")"),32633)</f>
        <v>32633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IFERROR(__xludf.DUMMYFUNCTION("IMPORTRANGE(""https://docs.google.com/spreadsheets/d/1SX6NBoVAgQJ6U1MVXOaj8PK2l7WJ3RER9xtqwdhxkhw/edit?usp=sharing"",""ระยอง!M253"")"),5730)</f>
        <v>5730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IFERROR(__xludf.DUMMYFUNCTION("IMPORTRANGE(""https://docs.google.com/spreadsheets/d/1SX6NBoVAgQJ6U1MVXOaj8PK2l7WJ3RER9xtqwdhxkhw/edit?usp=sharing"",""ระยอง!J255"")"),0)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IFERROR(__xludf.DUMMYFUNCTION("IMPORTRANGE(""https://docs.google.com/spreadsheets/d/1SX6NBoVAgQJ6U1MVXOaj8PK2l7WJ3RER9xtqwdhxkhw/edit?usp=sharing"",""ระยอง!J256"")"),1)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IFERROR(__xludf.DUMMYFUNCTION("IMPORTRANGE(""https://docs.google.com/spreadsheets/d/1SX6NBoVAgQJ6U1MVXOaj8PK2l7WJ3RER9xtqwdhxkhw/edit?usp=sharing"",""ระยอง!J257"")"),1)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IFERROR(__xludf.DUMMYFUNCTION("IMPORTRANGE(""https://docs.google.com/spreadsheets/d/1SX6NBoVAgQJ6U1MVXOaj8PK2l7WJ3RER9xtqwdhxkhw/edit?usp=sharing"",""ระยอง!J258"")"),1)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IFERROR(__xludf.DUMMYFUNCTION("IMPORTRANGE(""https://docs.google.com/spreadsheets/d/1SX6NBoVAgQJ6U1MVXOaj8PK2l7WJ3RER9xtqwdhxkhw/edit?usp=sharing"",""ระยอง!J166"")"),0)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IFERROR(__xludf.DUMMYFUNCTION("IMPORTRANGE(""https://docs.google.com/spreadsheets/d/1SX6NBoVAgQJ6U1MVXOaj8PK2l7WJ3RER9xtqwdhxkhw/edit?usp=sharing"",""ระยอง!J166"")"),0)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IFERROR(__xludf.DUMMYFUNCTION("IMPORTRANGE(""https://docs.google.com/spreadsheets/d/1SX6NBoVAgQJ6U1MVXOaj8PK2l7WJ3RER9xtqwdhxkhw/edit?usp=sharing"",""ระยอง!J166"")"),0)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IFERROR(__xludf.DUMMYFUNCTION("IMPORTRANGE(""https://docs.google.com/spreadsheets/d/1SX6NBoVAgQJ6U1MVXOaj8PK2l7WJ3RER9xtqwdhxkhw/edit?usp=sharing"",""ระยอง!J166"")"),0)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IFERROR(__xludf.DUMMYFUNCTION("IMPORTRANGE(""https://docs.google.com/spreadsheets/d/1SX6NBoVAgQJ6U1MVXOaj8PK2l7WJ3RER9xtqwdhxkhw/edit?usp=sharing"",""ระยอง!I263"")"),25)</f>
        <v>25</v>
      </c>
      <c r="J368" s="189">
        <f ca="1">IFERROR(__xludf.DUMMYFUNCTION("IMPORTRANGE(""https://docs.google.com/spreadsheets/d/1SX6NBoVAgQJ6U1MVXOaj8PK2l7WJ3RER9xtqwdhxkhw/edit?usp=sharing"",""ระยอง!J263"")"),0)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IFERROR(__xludf.DUMMYFUNCTION("IMPORTRANGE(""https://docs.google.com/spreadsheets/d/1SX6NBoVAgQJ6U1MVXOaj8PK2l7WJ3RER9xtqwdhxkhw/edit?usp=sharing"",""ระยอง!I164"")"),0)</f>
        <v>0</v>
      </c>
      <c r="J369" s="205">
        <f ca="1">IFERROR(__xludf.DUMMYFUNCTION("IMPORTRANGE(""https://docs.google.com/spreadsheets/d/1SX6NBoVAgQJ6U1MVXOaj8PK2l7WJ3RER9xtqwdhxkhw/edit?usp=sharing"",""ระยอง!J164"")"),0)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IFERROR(__xludf.DUMMYFUNCTION("IMPORTRANGE(""https://docs.google.com/spreadsheets/d/1SX6NBoVAgQJ6U1MVXOaj8PK2l7WJ3RER9xtqwdhxkhw/edit?usp=sharing"",""ระยอง!I265"")"),25)</f>
        <v>25</v>
      </c>
      <c r="J370" s="205">
        <f ca="1">IFERROR(__xludf.DUMMYFUNCTION("IMPORTRANGE(""https://docs.google.com/spreadsheets/d/1SX6NBoVAgQJ6U1MVXOaj8PK2l7WJ3RER9xtqwdhxkhw/edit?usp=sharing"",""ระยอง!J265"")"),20)</f>
        <v>20</v>
      </c>
      <c r="K370" s="165">
        <f t="shared" ca="1" si="106"/>
        <v>80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IFERROR(__xludf.DUMMYFUNCTION("IMPORTRANGE(""https://docs.google.com/spreadsheets/d/1SX6NBoVAgQJ6U1MVXOaj8PK2l7WJ3RER9xtqwdhxkhw/edit?usp=sharing"",""ระยอง!I164"")"),0)</f>
        <v>0</v>
      </c>
      <c r="J371" s="190">
        <f ca="1">IFERROR(__xludf.DUMMYFUNCTION("IMPORTRANGE(""https://docs.google.com/spreadsheets/d/1SX6NBoVAgQJ6U1MVXOaj8PK2l7WJ3RER9xtqwdhxkhw/edit?usp=sharing"",""ระยอง!J164"")"),0)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IFERROR(__xludf.DUMMYFUNCTION("IMPORTRANGE(""https://docs.google.com/spreadsheets/d/1SX6NBoVAgQJ6U1MVXOaj8PK2l7WJ3RER9xtqwdhxkhw/edit?usp=sharing"",""ระยอง!I267"")"),25)</f>
        <v>25</v>
      </c>
      <c r="J372" s="190">
        <f ca="1">IFERROR(__xludf.DUMMYFUNCTION("IMPORTRANGE(""https://docs.google.com/spreadsheets/d/1SX6NBoVAgQJ6U1MVXOaj8PK2l7WJ3RER9xtqwdhxkhw/edit?usp=sharing"",""ระยอง!J267"")"),0)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IFERROR(__xludf.DUMMYFUNCTION("IMPORTRANGE(""https://docs.google.com/spreadsheets/d/1SX6NBoVAgQJ6U1MVXOaj8PK2l7WJ3RER9xtqwdhxkhw/edit?usp=sharing"",""ระยอง!I164"")"),0)</f>
        <v>0</v>
      </c>
      <c r="J373" s="205">
        <f ca="1">IFERROR(__xludf.DUMMYFUNCTION("IMPORTRANGE(""https://docs.google.com/spreadsheets/d/1SX6NBoVAgQJ6U1MVXOaj8PK2l7WJ3RER9xtqwdhxkhw/edit?usp=sharing"",""ระยอง!J164"")"),0)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IFERROR(__xludf.DUMMYFUNCTION("IMPORTRANGE(""https://docs.google.com/spreadsheets/d/1SX6NBoVAgQJ6U1MVXOaj8PK2l7WJ3RER9xtqwdhxkhw/edit?usp=sharing"",""ระยอง!I164"")"),0)</f>
        <v>0</v>
      </c>
      <c r="J374" s="189">
        <f ca="1">IFERROR(__xludf.DUMMYFUNCTION("IMPORTRANGE(""https://docs.google.com/spreadsheets/d/1SX6NBoVAgQJ6U1MVXOaj8PK2l7WJ3RER9xtqwdhxkhw/edit?usp=sharing"",""ระยอง!J164"")"),0)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IFERROR(__xludf.DUMMYFUNCTION("IMPORTRANGE(""https://docs.google.com/spreadsheets/d/1SX6NBoVAgQJ6U1MVXOaj8PK2l7WJ3RER9xtqwdhxkhw/edit?usp=sharing"",""ระยอง!I270"")"),80)</f>
        <v>80</v>
      </c>
      <c r="J375" s="189">
        <f ca="1">IFERROR(__xludf.DUMMYFUNCTION("IMPORTRANGE(""https://docs.google.com/spreadsheets/d/1SX6NBoVAgQJ6U1MVXOaj8PK2l7WJ3RER9xtqwdhxkhw/edit?usp=sharing"",""ระยอง!J270"")"),0)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IFERROR(__xludf.DUMMYFUNCTION("IMPORTRANGE(""https://docs.google.com/spreadsheets/d/1SX6NBoVAgQJ6U1MVXOaj8PK2l7WJ3RER9xtqwdhxkhw/edit?usp=sharing"",""ระยอง!I271"")"),15)</f>
        <v>15</v>
      </c>
      <c r="J376" s="190">
        <f ca="1">IFERROR(__xludf.DUMMYFUNCTION("IMPORTRANGE(""https://docs.google.com/spreadsheets/d/1SX6NBoVAgQJ6U1MVXOaj8PK2l7WJ3RER9xtqwdhxkhw/edit?usp=sharing"",""ระยอง!J271"")"),0)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IFERROR(__xludf.DUMMYFUNCTION("IMPORTRANGE(""https://docs.google.com/spreadsheets/d/1SX6NBoVAgQJ6U1MVXOaj8PK2l7WJ3RER9xtqwdhxkhw/edit?usp=sharing"",""ระยอง!I272"")"),65)</f>
        <v>65</v>
      </c>
      <c r="J377" s="205">
        <f ca="1">IFERROR(__xludf.DUMMYFUNCTION("IMPORTRANGE(""https://docs.google.com/spreadsheets/d/1SX6NBoVAgQJ6U1MVXOaj8PK2l7WJ3RER9xtqwdhxkhw/edit?usp=sharing"",""ระยอง!J272"")"),0)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IFERROR(__xludf.DUMMYFUNCTION("IMPORTRANGE(""https://docs.google.com/spreadsheets/d/1SX6NBoVAgQJ6U1MVXOaj8PK2l7WJ3RER9xtqwdhxkhw/edit?usp=sharing"",""ระยอง!J273"")"),0)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IFERROR(__xludf.DUMMYFUNCTION("IMPORTRANGE(""https://docs.google.com/spreadsheets/d/1SX6NBoVAgQJ6U1MVXOaj8PK2l7WJ3RER9xtqwdhxkhw/edit?usp=sharing"",""ระยอง!J274"")"),0)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IFERROR(__xludf.DUMMYFUNCTION("IMPORTRANGE(""https://docs.google.com/spreadsheets/d/1SX6NBoVAgQJ6U1MVXOaj8PK2l7WJ3RER9xtqwdhxkhw/edit?usp=sharing"",""ระยอง!M275"")"),68610)</f>
        <v>68610</v>
      </c>
      <c r="O380" s="373">
        <f ca="1">+IF(L380&gt;0,N380*100/L380,0)</f>
        <v>33.055502023511274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IFERROR(__xludf.DUMMYFUNCTION("IMPORTRANGE(""https://docs.google.com/spreadsheets/d/1SX6NBoVAgQJ6U1MVXOaj8PK2l7WJ3RER9xtqwdhxkhw/edit?usp=sharing"",""ระยอง!L277"")"),0)</f>
        <v>0</v>
      </c>
      <c r="M382" s="166"/>
      <c r="N382" s="166">
        <f ca="1">IFERROR(__xludf.DUMMYFUNCTION("IMPORTRANGE(""https://docs.google.com/spreadsheets/d/1SX6NBoVAgQJ6U1MVXOaj8PK2l7WJ3RER9xtqwdhxkhw/edit?usp=sharing"",""ระยอง!M277"")"),0)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IFERROR(__xludf.DUMMYFUNCTION("IMPORTRANGE(""https://docs.google.com/spreadsheets/d/1SX6NBoVAgQJ6U1MVXOaj8PK2l7WJ3RER9xtqwdhxkhw/edit?usp=sharing"",""ระยอง!L278"")"),207560)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IFERROR(__xludf.DUMMYFUNCTION("IMPORTRANGE(""https://docs.google.com/spreadsheets/d/1SX6NBoVAgQJ6U1MVXOaj8PK2l7WJ3RER9xtqwdhxkhw/edit?usp=sharing"",""ระยอง!M278"")"),68610)</f>
        <v>68610</v>
      </c>
      <c r="O383" s="167">
        <f t="shared" ca="1" si="109"/>
        <v>33.055502023511274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IFERROR(__xludf.DUMMYFUNCTION("IMPORTRANGE(""https://docs.google.com/spreadsheets/d/1SX6NBoVAgQJ6U1MVXOaj8PK2l7WJ3RER9xtqwdhxkhw/edit?usp=sharing"",""ระยอง!L279"")"),0)</f>
        <v>0</v>
      </c>
      <c r="M384" s="170"/>
      <c r="N384" s="170">
        <f ca="1">IFERROR(__xludf.DUMMYFUNCTION("IMPORTRANGE(""https://docs.google.com/spreadsheets/d/1SX6NBoVAgQJ6U1MVXOaj8PK2l7WJ3RER9xtqwdhxkhw/edit?usp=sharing"",""ระยอง!M279"")"),0)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IFERROR(__xludf.DUMMYFUNCTION("IMPORTRANGE(""https://docs.google.com/spreadsheets/d/1SX6NBoVAgQJ6U1MVXOaj8PK2l7WJ3RER9xtqwdhxkhw/edit?usp=sharing"",""ระยอง!L280"")"),207560)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IFERROR(__xludf.DUMMYFUNCTION("IMPORTRANGE(""https://docs.google.com/spreadsheets/d/1SX6NBoVAgQJ6U1MVXOaj8PK2l7WJ3RER9xtqwdhxkhw/edit?usp=sharing"",""ระยอง!M280"")"),68610)</f>
        <v>68610</v>
      </c>
      <c r="O385" s="170">
        <f t="shared" ca="1" si="109"/>
        <v>33.055502023511274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IFERROR(__xludf.DUMMYFUNCTION("IMPORTRANGE(""https://docs.google.com/spreadsheets/d/1SX6NBoVAgQJ6U1MVXOaj8PK2l7WJ3RER9xtqwdhxkhw/edit?usp=sharing"",""ระยอง!M282"")"),0)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IFERROR(__xludf.DUMMYFUNCTION("IMPORTRANGE(""https://docs.google.com/spreadsheets/d/1SX6NBoVAgQJ6U1MVXOaj8PK2l7WJ3RER9xtqwdhxkhw/edit?usp=sharing"",""ระยอง!M284"")"),9810)</f>
        <v>9810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IFERROR(__xludf.DUMMYFUNCTION("IMPORTRANGE(""https://docs.google.com/spreadsheets/d/1SX6NBoVAgQJ6U1MVXOaj8PK2l7WJ3RER9xtqwdhxkhw/edit?usp=sharing"",""ระยอง!J286"")"),0)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IFERROR(__xludf.DUMMYFUNCTION("IMPORTRANGE(""https://docs.google.com/spreadsheets/d/1SX6NBoVAgQJ6U1MVXOaj8PK2l7WJ3RER9xtqwdhxkhw/edit?usp=sharing"",""ระยอง!J287"")"),1)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IFERROR(__xludf.DUMMYFUNCTION("IMPORTRANGE(""https://docs.google.com/spreadsheets/d/1SX6NBoVAgQJ6U1MVXOaj8PK2l7WJ3RER9xtqwdhxkhw/edit?usp=sharing"",""ระยอง!J288"")"),1)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IFERROR(__xludf.DUMMYFUNCTION("IMPORTRANGE(""https://docs.google.com/spreadsheets/d/1SX6NBoVAgQJ6U1MVXOaj8PK2l7WJ3RER9xtqwdhxkhw/edit?usp=sharing"",""ระยอง!J289"")"),0)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IFERROR(__xludf.DUMMYFUNCTION("IMPORTRANGE(""https://docs.google.com/spreadsheets/d/1SX6NBoVAgQJ6U1MVXOaj8PK2l7WJ3RER9xtqwdhxkhw/edit?usp=sharing"",""ระยอง!I291"")"),20)</f>
        <v>20</v>
      </c>
      <c r="J396" s="199">
        <f ca="1">IFERROR(__xludf.DUMMYFUNCTION("IMPORTRANGE(""https://docs.google.com/spreadsheets/d/1SX6NBoVAgQJ6U1MVXOaj8PK2l7WJ3RER9xtqwdhxkhw/edit?usp=sharing"",""ระยอง!J291"")"),20)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IFERROR(__xludf.DUMMYFUNCTION("IMPORTRANGE(""https://docs.google.com/spreadsheets/d/1SX6NBoVAgQJ6U1MVXOaj8PK2l7WJ3RER9xtqwdhxkhw/edit?usp=sharing"",""ระยอง!I292"")"),200)</f>
        <v>200</v>
      </c>
      <c r="J397" s="199">
        <f ca="1">IFERROR(__xludf.DUMMYFUNCTION("IMPORTRANGE(""https://docs.google.com/spreadsheets/d/1SX6NBoVAgQJ6U1MVXOaj8PK2l7WJ3RER9xtqwdhxkhw/edit?usp=sharing"",""ระยอง!J292"")"),0)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IFERROR(__xludf.DUMMYFUNCTION("IMPORTRANGE(""https://docs.google.com/spreadsheets/d/1SX6NBoVAgQJ6U1MVXOaj8PK2l7WJ3RER9xtqwdhxkhw/edit?usp=sharing"",""ระยอง!I293"")"),20)</f>
        <v>20</v>
      </c>
      <c r="J398" s="199">
        <f ca="1">IFERROR(__xludf.DUMMYFUNCTION("IMPORTRANGE(""https://docs.google.com/spreadsheets/d/1SX6NBoVAgQJ6U1MVXOaj8PK2l7WJ3RER9xtqwdhxkhw/edit?usp=sharing"",""ระยอง!J293"")"),0)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IFERROR(__xludf.DUMMYFUNCTION("IMPORTRANGE(""https://docs.google.com/spreadsheets/d/1SX6NBoVAgQJ6U1MVXOaj8PK2l7WJ3RER9xtqwdhxkhw/edit?usp=sharing"",""ระยอง!J294"")"),0)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IFERROR(__xludf.DUMMYFUNCTION("IMPORTRANGE(""https://docs.google.com/spreadsheets/d/1SX6NBoVAgQJ6U1MVXOaj8PK2l7WJ3RER9xtqwdhxkhw/edit?usp=sharing"",""ระยอง!J295"")"),0)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IFERROR(__xludf.DUMMYFUNCTION("IMPORTRANGE(""https://docs.google.com/spreadsheets/d/1SX6NBoVAgQJ6U1MVXOaj8PK2l7WJ3RER9xtqwdhxkhw/edit?usp=sharing"",""ระยอง!M296"")"),4580)</f>
        <v>4580</v>
      </c>
      <c r="O401" s="373">
        <f ca="1">+IF(L401&gt;0,N401*100/L401,0)</f>
        <v>2.93514483465778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IFERROR(__xludf.DUMMYFUNCTION("IMPORTRANGE(""https://docs.google.com/spreadsheets/d/1SX6NBoVAgQJ6U1MVXOaj8PK2l7WJ3RER9xtqwdhxkhw/edit?usp=sharing"",""ระยอง!L298"")"),0)</f>
        <v>0</v>
      </c>
      <c r="M403" s="166"/>
      <c r="N403" s="170">
        <f ca="1">IFERROR(__xludf.DUMMYFUNCTION("IMPORTRANGE(""https://docs.google.com/spreadsheets/d/1SX6NBoVAgQJ6U1MVXOaj8PK2l7WJ3RER9xtqwdhxkhw/edit?usp=sharing"",""ระยอง!M298"")"),0)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IFERROR(__xludf.DUMMYFUNCTION("IMPORTRANGE(""https://docs.google.com/spreadsheets/d/1SX6NBoVAgQJ6U1MVXOaj8PK2l7WJ3RER9xtqwdhxkhw/edit?usp=sharing"",""ระยอง!L299"")"),156040)</f>
        <v>156040</v>
      </c>
      <c r="M404" s="167"/>
      <c r="N404" s="170">
        <f ca="1">IFERROR(__xludf.DUMMYFUNCTION("IMPORTRANGE(""https://docs.google.com/spreadsheets/d/1SX6NBoVAgQJ6U1MVXOaj8PK2l7WJ3RER9xtqwdhxkhw/edit?usp=sharing"",""ระยอง!M299"")"),4580)</f>
        <v>4580</v>
      </c>
      <c r="O404" s="170">
        <f t="shared" ca="1" si="112"/>
        <v>2.93514483465778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IFERROR(__xludf.DUMMYFUNCTION("IMPORTRANGE(""https://docs.google.com/spreadsheets/d/1SX6NBoVAgQJ6U1MVXOaj8PK2l7WJ3RER9xtqwdhxkhw/edit?usp=sharing"",""ระยอง!L300"")"),0)</f>
        <v>0</v>
      </c>
      <c r="M405" s="170"/>
      <c r="N405" s="170">
        <f ca="1">IFERROR(__xludf.DUMMYFUNCTION("IMPORTRANGE(""https://docs.google.com/spreadsheets/d/1SX6NBoVAgQJ6U1MVXOaj8PK2l7WJ3RER9xtqwdhxkhw/edit?usp=sharing"",""ระยอง!M300"")"),0)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IFERROR(__xludf.DUMMYFUNCTION("IMPORTRANGE(""https://docs.google.com/spreadsheets/d/1SX6NBoVAgQJ6U1MVXOaj8PK2l7WJ3RER9xtqwdhxkhw/edit?usp=sharing"",""ระยอง!L301"")"),156040)</f>
        <v>156040</v>
      </c>
      <c r="M406" s="170"/>
      <c r="N406" s="170">
        <f ca="1">IFERROR(__xludf.DUMMYFUNCTION("IMPORTRANGE(""https://docs.google.com/spreadsheets/d/1SX6NBoVAgQJ6U1MVXOaj8PK2l7WJ3RER9xtqwdhxkhw/edit?usp=sharing"",""ระยอง!M301"")"),4580)</f>
        <v>4580</v>
      </c>
      <c r="O406" s="170">
        <f t="shared" ca="1" si="112"/>
        <v>2.93514483465778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IFERROR(__xludf.DUMMYFUNCTION("IMPORTRANGE(""https://docs.google.com/spreadsheets/d/1SX6NBoVAgQJ6U1MVXOaj8PK2l7WJ3RER9xtqwdhxkhw/edit?usp=sharing"",""ระยอง!M302"")"),0)</f>
        <v>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IFERROR(__xludf.DUMMYFUNCTION("IMPORTRANGE(""https://docs.google.com/spreadsheets/d/1SX6NBoVAgQJ6U1MVXOaj8PK2l7WJ3RER9xtqwdhxkhw/edit?usp=sharing"",""ระยอง!M303"")"),0)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IFERROR(__xludf.DUMMYFUNCTION("IMPORTRANGE(""https://docs.google.com/spreadsheets/d/1SX6NBoVAgQJ6U1MVXOaj8PK2l7WJ3RER9xtqwdhxkhw/edit?usp=sharing"",""ระยอง!M305"")"),4580)</f>
        <v>4580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IFERROR(__xludf.DUMMYFUNCTION("IMPORTRANGE(""https://docs.google.com/spreadsheets/d/1SX6NBoVAgQJ6U1MVXOaj8PK2l7WJ3RER9xtqwdhxkhw/edit?usp=sharing"",""ระยอง!J307"")"),0)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IFERROR(__xludf.DUMMYFUNCTION("IMPORTRANGE(""https://docs.google.com/spreadsheets/d/1SX6NBoVAgQJ6U1MVXOaj8PK2l7WJ3RER9xtqwdhxkhw/edit?usp=sharing"",""ระยอง!J308"")"),1)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IFERROR(__xludf.DUMMYFUNCTION("IMPORTRANGE(""https://docs.google.com/spreadsheets/d/1SX6NBoVAgQJ6U1MVXOaj8PK2l7WJ3RER9xtqwdhxkhw/edit?usp=sharing"",""ระยอง!J309"")"),1)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IFERROR(__xludf.DUMMYFUNCTION("IMPORTRANGE(""https://docs.google.com/spreadsheets/d/1SX6NBoVAgQJ6U1MVXOaj8PK2l7WJ3RER9xtqwdhxkhw/edit?usp=sharing"",""ระยอง!J310"")"),0)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IFERROR(__xludf.DUMMYFUNCTION("IMPORTRANGE(""https://docs.google.com/spreadsheets/d/1SX6NBoVAgQJ6U1MVXOaj8PK2l7WJ3RER9xtqwdhxkhw/edit?usp=sharing"",""ระยอง!I311"")"),45)</f>
        <v>45</v>
      </c>
      <c r="J416" s="202">
        <f ca="1">IFERROR(__xludf.DUMMYFUNCTION("IMPORTRANGE(""https://docs.google.com/spreadsheets/d/1SX6NBoVAgQJ6U1MVXOaj8PK2l7WJ3RER9xtqwdhxkhw/edit?usp=sharing"",""ระยอง!J311"")"),0)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IFERROR(__xludf.DUMMYFUNCTION("IMPORTRANGE(""https://docs.google.com/spreadsheets/d/1SX6NBoVAgQJ6U1MVXOaj8PK2l7WJ3RER9xtqwdhxkhw/edit?usp=sharing"",""ระยอง!J328"")"),0)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IFERROR(__xludf.DUMMYFUNCTION("IMPORTRANGE(""https://docs.google.com/spreadsheets/d/1SX6NBoVAgQJ6U1MVXOaj8PK2l7WJ3RER9xtqwdhxkhw/edit?usp=sharing"",""ระยอง!J329"")"),0)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IFERROR(__xludf.DUMMYFUNCTION("IMPORTRANGE(""https://docs.google.com/spreadsheets/d/1SX6NBoVAgQJ6U1MVXOaj8PK2l7WJ3RER9xtqwdhxkhw/edit?usp=sharing"",""ระยอง!M330"")"),0)</f>
        <v>0</v>
      </c>
      <c r="O435" s="412">
        <f t="shared" ref="O435:O439" ca="1" si="114">+IF(L435&gt;0,N435*100/L435,0)</f>
        <v>0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IFERROR(__xludf.DUMMYFUNCTION("IMPORTRANGE(""https://docs.google.com/spreadsheets/d/1SX6NBoVAgQJ6U1MVXOaj8PK2l7WJ3RER9xtqwdhxkhw/edit?usp=sharing"",""ระยอง!L331"")"),0)</f>
        <v>0</v>
      </c>
      <c r="M436" s="166"/>
      <c r="N436" s="170">
        <f ca="1">IFERROR(__xludf.DUMMYFUNCTION("IMPORTRANGE(""https://docs.google.com/spreadsheets/d/1SX6NBoVAgQJ6U1MVXOaj8PK2l7WJ3RER9xtqwdhxkhw/edit?usp=sharing"",""ระยอง!M331"")"),0)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IFERROR(__xludf.DUMMYFUNCTION("IMPORTRANGE(""https://docs.google.com/spreadsheets/d/1SX6NBoVAgQJ6U1MVXOaj8PK2l7WJ3RER9xtqwdhxkhw/edit?usp=sharing"",""ระยอง!L332"")"),100000)</f>
        <v>100000</v>
      </c>
      <c r="M437" s="167"/>
      <c r="N437" s="170">
        <f ca="1">IFERROR(__xludf.DUMMYFUNCTION("IMPORTRANGE(""https://docs.google.com/spreadsheets/d/1SX6NBoVAgQJ6U1MVXOaj8PK2l7WJ3RER9xtqwdhxkhw/edit?usp=sharing"",""ระยอง!M332"")"),0)</f>
        <v>0</v>
      </c>
      <c r="O437" s="170">
        <f t="shared" ca="1" si="114"/>
        <v>0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IFERROR(__xludf.DUMMYFUNCTION("IMPORTRANGE(""https://docs.google.com/spreadsheets/d/1SX6NBoVAgQJ6U1MVXOaj8PK2l7WJ3RER9xtqwdhxkhw/edit?usp=sharing"",""ระยอง!L333"")"),0)</f>
        <v>0</v>
      </c>
      <c r="M438" s="170"/>
      <c r="N438" s="170">
        <f ca="1">IFERROR(__xludf.DUMMYFUNCTION("IMPORTRANGE(""https://docs.google.com/spreadsheets/d/1SX6NBoVAgQJ6U1MVXOaj8PK2l7WJ3RER9xtqwdhxkhw/edit?usp=sharing"",""ระยอง!M333"")"),0)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IFERROR(__xludf.DUMMYFUNCTION("IMPORTRANGE(""https://docs.google.com/spreadsheets/d/1SX6NBoVAgQJ6U1MVXOaj8PK2l7WJ3RER9xtqwdhxkhw/edit?usp=sharing"",""ระยอง!L334"")"),100000)</f>
        <v>100000</v>
      </c>
      <c r="M439" s="170"/>
      <c r="N439" s="170">
        <f ca="1">IFERROR(__xludf.DUMMYFUNCTION("IMPORTRANGE(""https://docs.google.com/spreadsheets/d/1SX6NBoVAgQJ6U1MVXOaj8PK2l7WJ3RER9xtqwdhxkhw/edit?usp=sharing"",""ระยอง!M334"")"),0)</f>
        <v>0</v>
      </c>
      <c r="O439" s="170">
        <f t="shared" ca="1" si="114"/>
        <v>0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IFERROR(__xludf.DUMMYFUNCTION("IMPORTRANGE(""https://docs.google.com/spreadsheets/d/1SX6NBoVAgQJ6U1MVXOaj8PK2l7WJ3RER9xtqwdhxkhw/edit?usp=sharing"",""ระยอง!M335"")"),0)</f>
        <v>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IFERROR(__xludf.DUMMYFUNCTION("IMPORTRANGE(""https://docs.google.com/spreadsheets/d/1SX6NBoVAgQJ6U1MVXOaj8PK2l7WJ3RER9xtqwdhxkhw/edit?usp=sharing"",""ระยอง!J342"")"),1)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IFERROR(__xludf.DUMMYFUNCTION("IMPORTRANGE(""https://docs.google.com/spreadsheets/d/1SX6NBoVAgQJ6U1MVXOaj8PK2l7WJ3RER9xtqwdhxkhw/edit?usp=sharing"",""ระยอง!J343"")"),0)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2">
        <f ca="1">IFERROR(__xludf.DUMMYFUNCTION("IMPORTRANGE(""https://docs.google.com/spreadsheets/d/1SX6NBoVAgQJ6U1MVXOaj8PK2l7WJ3RER9xtqwdhxkhw/edit?usp=sharing"",""ระยอง!J344"")"),0)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IFERROR(__xludf.DUMMYFUNCTION("IMPORTRANGE(""https://docs.google.com/spreadsheets/d/1SX6NBoVAgQJ6U1MVXOaj8PK2l7WJ3RER9xtqwdhxkhw/edit?usp=sharing"",""ระยอง!I345"")"),20)</f>
        <v>20</v>
      </c>
      <c r="J450" s="190">
        <f ca="1">IFERROR(__xludf.DUMMYFUNCTION("IMPORTRANGE(""https://docs.google.com/spreadsheets/d/1SX6NBoVAgQJ6U1MVXOaj8PK2l7WJ3RER9xtqwdhxkhw/edit?usp=sharing"",""ระยอง!J345"")"),0)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IFERROR(__xludf.DUMMYFUNCTION("IMPORTRANGE(""https://docs.google.com/spreadsheets/d/1SX6NBoVAgQJ6U1MVXOaj8PK2l7WJ3RER9xtqwdhxkhw/edit?usp=sharing"",""ระยอง!I346"")"),0)</f>
        <v>0</v>
      </c>
      <c r="J451" s="189">
        <f ca="1">IFERROR(__xludf.DUMMYFUNCTION("IMPORTRANGE(""https://docs.google.com/spreadsheets/d/1SX6NBoVAgQJ6U1MVXOaj8PK2l7WJ3RER9xtqwdhxkhw/edit?usp=sharing"",""ระยอง!J346"")"),0)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IFERROR(__xludf.DUMMYFUNCTION("IMPORTRANGE(""https://docs.google.com/spreadsheets/d/1SX6NBoVAgQJ6U1MVXOaj8PK2l7WJ3RER9xtqwdhxkhw/edit?usp=sharing"",""ระยอง!I347"")"),0)</f>
        <v>0</v>
      </c>
      <c r="J452" s="189">
        <f ca="1">IFERROR(__xludf.DUMMYFUNCTION("IMPORTRANGE(""https://docs.google.com/spreadsheets/d/1SX6NBoVAgQJ6U1MVXOaj8PK2l7WJ3RER9xtqwdhxkhw/edit?usp=sharing"",""ระยอง!J347"")"),0)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IFERROR(__xludf.DUMMYFUNCTION("IMPORTRANGE(""https://docs.google.com/spreadsheets/d/1SX6NBoVAgQJ6U1MVXOaj8PK2l7WJ3RER9xtqwdhxkhw/edit?usp=sharing"",""ระยอง!J348"")"),0)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IFERROR(__xludf.DUMMYFUNCTION("IMPORTRANGE(""https://docs.google.com/spreadsheets/d/1SX6NBoVAgQJ6U1MVXOaj8PK2l7WJ3RER9xtqwdhxkhw/edit?usp=sharing"",""ระยอง!J349"")"),0)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IFERROR(__xludf.DUMMYFUNCTION("IMPORTRANGE(""https://docs.google.com/spreadsheets/d/1SX6NBoVAgQJ6U1MVXOaj8PK2l7WJ3RER9xtqwdhxkhw/edit?usp=sharing"",""ระยอง!L350"")"),94119)</f>
        <v>94119</v>
      </c>
      <c r="M455" s="373"/>
      <c r="N455" s="373">
        <f ca="1">IFERROR(__xludf.DUMMYFUNCTION("IMPORTRANGE(""https://docs.google.com/spreadsheets/d/1SX6NBoVAgQJ6U1MVXOaj8PK2l7WJ3RER9xtqwdhxkhw/edit?usp=sharing"",""ระยอง!M350"")"),14735)</f>
        <v>14735</v>
      </c>
      <c r="O455" s="373">
        <f t="shared" ref="O455:O459" ca="1" si="116">+IF(L455&gt;0,N455*100/L455,0)</f>
        <v>15.655712449133544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IFERROR(__xludf.DUMMYFUNCTION("IMPORTRANGE(""https://docs.google.com/spreadsheets/d/1SX6NBoVAgQJ6U1MVXOaj8PK2l7WJ3RER9xtqwdhxkhw/edit?usp=sharing"",""ระยอง!L351"")"),0)</f>
        <v>0</v>
      </c>
      <c r="M456" s="166"/>
      <c r="N456" s="170">
        <f ca="1">IFERROR(__xludf.DUMMYFUNCTION("IMPORTRANGE(""https://docs.google.com/spreadsheets/d/1SX6NBoVAgQJ6U1MVXOaj8PK2l7WJ3RER9xtqwdhxkhw/edit?usp=sharing"",""ระยอง!M351"")"),0)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IFERROR(__xludf.DUMMYFUNCTION("IMPORTRANGE(""https://docs.google.com/spreadsheets/d/1SX6NBoVAgQJ6U1MVXOaj8PK2l7WJ3RER9xtqwdhxkhw/edit?usp=sharing"",""ระยอง!L352"")"),94119)</f>
        <v>94119</v>
      </c>
      <c r="M457" s="167"/>
      <c r="N457" s="170">
        <f ca="1">IFERROR(__xludf.DUMMYFUNCTION("IMPORTRANGE(""https://docs.google.com/spreadsheets/d/1SX6NBoVAgQJ6U1MVXOaj8PK2l7WJ3RER9xtqwdhxkhw/edit?usp=sharing"",""ระยอง!M352"")"),14735)</f>
        <v>14735</v>
      </c>
      <c r="O457" s="170">
        <f t="shared" ca="1" si="116"/>
        <v>15.655712449133544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IFERROR(__xludf.DUMMYFUNCTION("IMPORTRANGE(""https://docs.google.com/spreadsheets/d/1SX6NBoVAgQJ6U1MVXOaj8PK2l7WJ3RER9xtqwdhxkhw/edit?usp=sharing"",""ระยอง!L353"")"),0)</f>
        <v>0</v>
      </c>
      <c r="M458" s="170"/>
      <c r="N458" s="170">
        <f ca="1">IFERROR(__xludf.DUMMYFUNCTION("IMPORTRANGE(""https://docs.google.com/spreadsheets/d/1SX6NBoVAgQJ6U1MVXOaj8PK2l7WJ3RER9xtqwdhxkhw/edit?usp=sharing"",""ระยอง!M353"")"),0)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IFERROR(__xludf.DUMMYFUNCTION("IMPORTRANGE(""https://docs.google.com/spreadsheets/d/1SX6NBoVAgQJ6U1MVXOaj8PK2l7WJ3RER9xtqwdhxkhw/edit?usp=sharing"",""ระยอง!L354"")"),94119)</f>
        <v>94119</v>
      </c>
      <c r="M459" s="170"/>
      <c r="N459" s="170">
        <f ca="1">IFERROR(__xludf.DUMMYFUNCTION("IMPORTRANGE(""https://docs.google.com/spreadsheets/d/1SX6NBoVAgQJ6U1MVXOaj8PK2l7WJ3RER9xtqwdhxkhw/edit?usp=sharing"",""ระยอง!M354"")"),14735)</f>
        <v>14735</v>
      </c>
      <c r="O459" s="170">
        <f t="shared" ca="1" si="116"/>
        <v>15.655712449133544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IFERROR(__xludf.DUMMYFUNCTION("IMPORTRANGE(""https://docs.google.com/spreadsheets/d/1SX6NBoVAgQJ6U1MVXOaj8PK2l7WJ3RER9xtqwdhxkhw/edit?usp=sharing"",""ระยอง!M355"")"),0)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IFERROR(__xludf.DUMMYFUNCTION("IMPORTRANGE(""https://docs.google.com/spreadsheets/d/1SX6NBoVAgQJ6U1MVXOaj8PK2l7WJ3RER9xtqwdhxkhw/edit?usp=sharing"",""ระยอง!M356"")"),0)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IFERROR(__xludf.DUMMYFUNCTION("IMPORTRANGE(""https://docs.google.com/spreadsheets/d/1SX6NBoVAgQJ6U1MVXOaj8PK2l7WJ3RER9xtqwdhxkhw/edit?usp=sharing"",""ระยอง!M358"")"),14735)</f>
        <v>14735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3">
        <f t="shared" ca="1" si="117"/>
        <v>100.01352265043948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IFERROR(__xludf.DUMMYFUNCTION("IMPORTRANGE(""https://docs.google.com/spreadsheets/d/1SX6NBoVAgQJ6U1MVXOaj8PK2l7WJ3RER9xtqwdhxkhw/edit?usp=sharing"",""ระยอง!I362"")"),0)</f>
        <v>0</v>
      </c>
      <c r="J467" s="190">
        <f ca="1">IFERROR(__xludf.DUMMYFUNCTION("IMPORTRANGE(""https://docs.google.com/spreadsheets/d/1SX6NBoVAgQJ6U1MVXOaj8PK2l7WJ3RER9xtqwdhxkhw/edit?usp=sharing"",""ระยอง!J362"")"),5753)</f>
        <v>5753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IFERROR(__xludf.DUMMYFUNCTION("IMPORTRANGE(""https://docs.google.com/spreadsheets/d/1SX6NBoVAgQJ6U1MVXOaj8PK2l7WJ3RER9xtqwdhxkhw/edit?usp=sharing"",""ระยอง!I363"")"),0)</f>
        <v>0</v>
      </c>
      <c r="J468" s="190">
        <f ca="1">IFERROR(__xludf.DUMMYFUNCTION("IMPORTRANGE(""https://docs.google.com/spreadsheets/d/1SX6NBoVAgQJ6U1MVXOaj8PK2l7WJ3RER9xtqwdhxkhw/edit?usp=sharing"",""ระยอง!J363"")"),528)</f>
        <v>528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IFERROR(__xludf.DUMMYFUNCTION("IMPORTRANGE(""https://docs.google.com/spreadsheets/d/1SX6NBoVAgQJ6U1MVXOaj8PK2l7WJ3RER9xtqwdhxkhw/edit?usp=sharing"",""ระยอง!I364"")"),0)</f>
        <v>0</v>
      </c>
      <c r="J469" s="190">
        <f ca="1">IFERROR(__xludf.DUMMYFUNCTION("IMPORTRANGE(""https://docs.google.com/spreadsheets/d/1SX6NBoVAgQJ6U1MVXOaj8PK2l7WJ3RER9xtqwdhxkhw/edit?usp=sharing"",""ระยอง!J364"")"),1488)</f>
        <v>1488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IFERROR(__xludf.DUMMYFUNCTION("IMPORTRANGE(""https://docs.google.com/spreadsheets/d/1SX6NBoVAgQJ6U1MVXOaj8PK2l7WJ3RER9xtqwdhxkhw/edit?usp=sharing"",""ระยอง!I365"")"),0)</f>
        <v>0</v>
      </c>
      <c r="J470" s="190">
        <f ca="1">IFERROR(__xludf.DUMMYFUNCTION("IMPORTRANGE(""https://docs.google.com/spreadsheets/d/1SX6NBoVAgQJ6U1MVXOaj8PK2l7WJ3RER9xtqwdhxkhw/edit?usp=sharing"",""ระยอง!J365"")"),103)</f>
        <v>103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IFERROR(__xludf.DUMMYFUNCTION("IMPORTRANGE(""https://docs.google.com/spreadsheets/d/1SX6NBoVAgQJ6U1MVXOaj8PK2l7WJ3RER9xtqwdhxkhw/edit?usp=sharing"",""ระยอง!I366"")"),0)</f>
        <v>0</v>
      </c>
      <c r="J471" s="190">
        <f ca="1">IFERROR(__xludf.DUMMYFUNCTION("IMPORTRANGE(""https://docs.google.com/spreadsheets/d/1SX6NBoVAgQJ6U1MVXOaj8PK2l7WJ3RER9xtqwdhxkhw/edit?usp=sharing"",""ระยอง!J366"")"),155)</f>
        <v>155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IFERROR(__xludf.DUMMYFUNCTION("IMPORTRANGE(""https://docs.google.com/spreadsheets/d/1SX6NBoVAgQJ6U1MVXOaj8PK2l7WJ3RER9xtqwdhxkhw/edit?usp=sharing"",""ระยอง!I367"")"),0)</f>
        <v>0</v>
      </c>
      <c r="J472" s="190">
        <f ca="1">IFERROR(__xludf.DUMMYFUNCTION("IMPORTRANGE(""https://docs.google.com/spreadsheets/d/1SX6NBoVAgQJ6U1MVXOaj8PK2l7WJ3RER9xtqwdhxkhw/edit?usp=sharing"",""ระยอง!J367"")"),14)</f>
        <v>14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IFERROR(__xludf.DUMMYFUNCTION("IMPORTRANGE(""https://docs.google.com/spreadsheets/d/1SX6NBoVAgQJ6U1MVXOaj8PK2l7WJ3RER9xtqwdhxkhw/edit?usp=sharing"",""ระยอง!I370"")"),0)</f>
        <v>0</v>
      </c>
      <c r="J475" s="190">
        <f ca="1">IFERROR(__xludf.DUMMYFUNCTION("IMPORTRANGE(""https://docs.google.com/spreadsheets/d/1SX6NBoVAgQJ6U1MVXOaj8PK2l7WJ3RER9xtqwdhxkhw/edit?usp=sharing"",""ระยอง!J370"")"),0)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IFERROR(__xludf.DUMMYFUNCTION("IMPORTRANGE(""https://docs.google.com/spreadsheets/d/1SX6NBoVAgQJ6U1MVXOaj8PK2l7WJ3RER9xtqwdhxkhw/edit?usp=sharing"",""ระยอง!I371"")"),0)</f>
        <v>0</v>
      </c>
      <c r="J476" s="190">
        <f ca="1">IFERROR(__xludf.DUMMYFUNCTION("IMPORTRANGE(""https://docs.google.com/spreadsheets/d/1SX6NBoVAgQJ6U1MVXOaj8PK2l7WJ3RER9xtqwdhxkhw/edit?usp=sharing"",""ระยอง!J371"")"),0)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IFERROR(__xludf.DUMMYFUNCTION("IMPORTRANGE(""https://docs.google.com/spreadsheets/d/1SX6NBoVAgQJ6U1MVXOaj8PK2l7WJ3RER9xtqwdhxkhw/edit?usp=sharing"",""ระยอง!I372"")"),0)</f>
        <v>0</v>
      </c>
      <c r="J477" s="190">
        <f ca="1">IFERROR(__xludf.DUMMYFUNCTION("IMPORTRANGE(""https://docs.google.com/spreadsheets/d/1SX6NBoVAgQJ6U1MVXOaj8PK2l7WJ3RER9xtqwdhxkhw/edit?usp=sharing"",""ระยอง!J372"")"),0)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IFERROR(__xludf.DUMMYFUNCTION("IMPORTRANGE(""https://docs.google.com/spreadsheets/d/1SX6NBoVAgQJ6U1MVXOaj8PK2l7WJ3RER9xtqwdhxkhw/edit?usp=sharing"",""ระยอง!I373"")"),0)</f>
        <v>0</v>
      </c>
      <c r="J478" s="190">
        <f ca="1">IFERROR(__xludf.DUMMYFUNCTION("IMPORTRANGE(""https://docs.google.com/spreadsheets/d/1SX6NBoVAgQJ6U1MVXOaj8PK2l7WJ3RER9xtqwdhxkhw/edit?usp=sharing"",""ระยอง!J373"")"),0)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IFERROR(__xludf.DUMMYFUNCTION("IMPORTRANGE(""https://docs.google.com/spreadsheets/d/1SX6NBoVAgQJ6U1MVXOaj8PK2l7WJ3RER9xtqwdhxkhw/edit?usp=sharing"",""ระยอง!I374"")"),0)</f>
        <v>0</v>
      </c>
      <c r="J479" s="190">
        <f ca="1">IFERROR(__xludf.DUMMYFUNCTION("IMPORTRANGE(""https://docs.google.com/spreadsheets/d/1SX6NBoVAgQJ6U1MVXOaj8PK2l7WJ3RER9xtqwdhxkhw/edit?usp=sharing"",""ระยอง!J374"")"),0)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IFERROR(__xludf.DUMMYFUNCTION("IMPORTRANGE(""https://docs.google.com/spreadsheets/d/1SX6NBoVAgQJ6U1MVXOaj8PK2l7WJ3RER9xtqwdhxkhw/edit?usp=sharing"",""ระยอง!I375"")"),0)</f>
        <v>0</v>
      </c>
      <c r="J480" s="190">
        <f ca="1">IFERROR(__xludf.DUMMYFUNCTION("IMPORTRANGE(""https://docs.google.com/spreadsheets/d/1SX6NBoVAgQJ6U1MVXOaj8PK2l7WJ3RER9xtqwdhxkhw/edit?usp=sharing"",""ระยอง!J375"")"),0)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IFERROR(__xludf.DUMMYFUNCTION("IMPORTRANGE(""https://docs.google.com/spreadsheets/d/1SX6NBoVAgQJ6U1MVXOaj8PK2l7WJ3RER9xtqwdhxkhw/edit?usp=sharing"",""ระยอง!I378"")"),0)</f>
        <v>0</v>
      </c>
      <c r="J483" s="190">
        <f ca="1">IFERROR(__xludf.DUMMYFUNCTION("IMPORTRANGE(""https://docs.google.com/spreadsheets/d/1SX6NBoVAgQJ6U1MVXOaj8PK2l7WJ3RER9xtqwdhxkhw/edit?usp=sharing"",""ระยอง!J378"")"),0)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IFERROR(__xludf.DUMMYFUNCTION("IMPORTRANGE(""https://docs.google.com/spreadsheets/d/1SX6NBoVAgQJ6U1MVXOaj8PK2l7WJ3RER9xtqwdhxkhw/edit?usp=sharing"",""ระยอง!I379"")"),0)</f>
        <v>0</v>
      </c>
      <c r="J484" s="190">
        <f ca="1">IFERROR(__xludf.DUMMYFUNCTION("IMPORTRANGE(""https://docs.google.com/spreadsheets/d/1SX6NBoVAgQJ6U1MVXOaj8PK2l7WJ3RER9xtqwdhxkhw/edit?usp=sharing"",""ระยอง!J379"")"),0)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IFERROR(__xludf.DUMMYFUNCTION("IMPORTRANGE(""https://docs.google.com/spreadsheets/d/1SX6NBoVAgQJ6U1MVXOaj8PK2l7WJ3RER9xtqwdhxkhw/edit?usp=sharing"",""ระยอง!I380"")"),0)</f>
        <v>0</v>
      </c>
      <c r="J485" s="190">
        <f ca="1">IFERROR(__xludf.DUMMYFUNCTION("IMPORTRANGE(""https://docs.google.com/spreadsheets/d/1SX6NBoVAgQJ6U1MVXOaj8PK2l7WJ3RER9xtqwdhxkhw/edit?usp=sharing"",""ระยอง!J380"")"),0)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IFERROR(__xludf.DUMMYFUNCTION("IMPORTRANGE(""https://docs.google.com/spreadsheets/d/1SX6NBoVAgQJ6U1MVXOaj8PK2l7WJ3RER9xtqwdhxkhw/edit?usp=sharing"",""ระยอง!I381"")"),0)</f>
        <v>0</v>
      </c>
      <c r="J486" s="190">
        <f ca="1">IFERROR(__xludf.DUMMYFUNCTION("IMPORTRANGE(""https://docs.google.com/spreadsheets/d/1SX6NBoVAgQJ6U1MVXOaj8PK2l7WJ3RER9xtqwdhxkhw/edit?usp=sharing"",""ระยอง!J381"")"),0)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IFERROR(__xludf.DUMMYFUNCTION("IMPORTRANGE(""https://docs.google.com/spreadsheets/d/1SX6NBoVAgQJ6U1MVXOaj8PK2l7WJ3RER9xtqwdhxkhw/edit?usp=sharing"",""ระยอง!I384"")"),0)</f>
        <v>0</v>
      </c>
      <c r="J489" s="190">
        <f ca="1">IFERROR(__xludf.DUMMYFUNCTION("IMPORTRANGE(""https://docs.google.com/spreadsheets/d/1SX6NBoVAgQJ6U1MVXOaj8PK2l7WJ3RER9xtqwdhxkhw/edit?usp=sharing"",""ระยอง!J384"")"),0)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IFERROR(__xludf.DUMMYFUNCTION("IMPORTRANGE(""https://docs.google.com/spreadsheets/d/1SX6NBoVAgQJ6U1MVXOaj8PK2l7WJ3RER9xtqwdhxkhw/edit?usp=sharing"",""ระยอง!I385"")"),0)</f>
        <v>0</v>
      </c>
      <c r="J490" s="190">
        <f ca="1">IFERROR(__xludf.DUMMYFUNCTION("IMPORTRANGE(""https://docs.google.com/spreadsheets/d/1SX6NBoVAgQJ6U1MVXOaj8PK2l7WJ3RER9xtqwdhxkhw/edit?usp=sharing"",""ระยอง!J385"")"),0)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IFERROR(__xludf.DUMMYFUNCTION("IMPORTRANGE(""https://docs.google.com/spreadsheets/d/1SX6NBoVAgQJ6U1MVXOaj8PK2l7WJ3RER9xtqwdhxkhw/edit?usp=sharing"",""ระยอง!I386"")"),0)</f>
        <v>0</v>
      </c>
      <c r="J491" s="190">
        <f ca="1">IFERROR(__xludf.DUMMYFUNCTION("IMPORTRANGE(""https://docs.google.com/spreadsheets/d/1SX6NBoVAgQJ6U1MVXOaj8PK2l7WJ3RER9xtqwdhxkhw/edit?usp=sharing"",""ระยอง!J386"")"),0)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IFERROR(__xludf.DUMMYFUNCTION("IMPORTRANGE(""https://docs.google.com/spreadsheets/d/1SX6NBoVAgQJ6U1MVXOaj8PK2l7WJ3RER9xtqwdhxkhw/edit?usp=sharing"",""ระยอง!I387"")"),0)</f>
        <v>0</v>
      </c>
      <c r="J492" s="190">
        <f ca="1">IFERROR(__xludf.DUMMYFUNCTION("IMPORTRANGE(""https://docs.google.com/spreadsheets/d/1SX6NBoVAgQJ6U1MVXOaj8PK2l7WJ3RER9xtqwdhxkhw/edit?usp=sharing"",""ระยอง!J387"")"),0)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IFERROR(__xludf.DUMMYFUNCTION("IMPORTRANGE(""https://docs.google.com/spreadsheets/d/1SX6NBoVAgQJ6U1MVXOaj8PK2l7WJ3RER9xtqwdhxkhw/edit?usp=sharing"",""ระยอง!I388"")"),0)</f>
        <v>0</v>
      </c>
      <c r="J493" s="190">
        <f ca="1">IFERROR(__xludf.DUMMYFUNCTION("IMPORTRANGE(""https://docs.google.com/spreadsheets/d/1SX6NBoVAgQJ6U1MVXOaj8PK2l7WJ3RER9xtqwdhxkhw/edit?usp=sharing"",""ระยอง!J388"")"),0)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IFERROR(__xludf.DUMMYFUNCTION("IMPORTRANGE(""https://docs.google.com/spreadsheets/d/1SX6NBoVAgQJ6U1MVXOaj8PK2l7WJ3RER9xtqwdhxkhw/edit?usp=sharing"",""ระยอง!I395"")"),0)</f>
        <v>0</v>
      </c>
      <c r="J500" s="164">
        <f ca="1">IFERROR(__xludf.DUMMYFUNCTION("IMPORTRANGE(""https://docs.google.com/spreadsheets/d/1SX6NBoVAgQJ6U1MVXOaj8PK2l7WJ3RER9xtqwdhxkhw/edit?usp=sharing"",""ระยอง!J395"")"),0)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IFERROR(__xludf.DUMMYFUNCTION("IMPORTRANGE(""https://docs.google.com/spreadsheets/d/1SX6NBoVAgQJ6U1MVXOaj8PK2l7WJ3RER9xtqwdhxkhw/edit?usp=sharing"",""ระยอง!I396"")"),0)</f>
        <v>0</v>
      </c>
      <c r="J501" s="164">
        <f ca="1">IFERROR(__xludf.DUMMYFUNCTION("IMPORTRANGE(""https://docs.google.com/spreadsheets/d/1SX6NBoVAgQJ6U1MVXOaj8PK2l7WJ3RER9xtqwdhxkhw/edit?usp=sharing"",""ระยอง!J396"")"),0)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IFERROR(__xludf.DUMMYFUNCTION("IMPORTRANGE(""https://docs.google.com/spreadsheets/d/1SX6NBoVAgQJ6U1MVXOaj8PK2l7WJ3RER9xtqwdhxkhw/edit?usp=sharing"",""ระยอง!I397"")"),0)</f>
        <v>0</v>
      </c>
      <c r="J502" s="190">
        <f ca="1">IFERROR(__xludf.DUMMYFUNCTION("IMPORTRANGE(""https://docs.google.com/spreadsheets/d/1SX6NBoVAgQJ6U1MVXOaj8PK2l7WJ3RER9xtqwdhxkhw/edit?usp=sharing"",""ระยอง!J397"")"),0)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IFERROR(__xludf.DUMMYFUNCTION("IMPORTRANGE(""https://docs.google.com/spreadsheets/d/1SX6NBoVAgQJ6U1MVXOaj8PK2l7WJ3RER9xtqwdhxkhw/edit?usp=sharing"",""ระยอง!I398"")"),0)</f>
        <v>0</v>
      </c>
      <c r="J503" s="199">
        <f ca="1">IFERROR(__xludf.DUMMYFUNCTION("IMPORTRANGE(""https://docs.google.com/spreadsheets/d/1SX6NBoVAgQJ6U1MVXOaj8PK2l7WJ3RER9xtqwdhxkhw/edit?usp=sharing"",""ระยอง!J398"")"),0)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IFERROR(__xludf.DUMMYFUNCTION("IMPORTRANGE(""https://docs.google.com/spreadsheets/d/1SX6NBoVAgQJ6U1MVXOaj8PK2l7WJ3RER9xtqwdhxkhw/edit?usp=sharing"",""ระยอง!I399"")"),0)</f>
        <v>0</v>
      </c>
      <c r="J504" s="190">
        <f ca="1">IFERROR(__xludf.DUMMYFUNCTION("IMPORTRANGE(""https://docs.google.com/spreadsheets/d/1SX6NBoVAgQJ6U1MVXOaj8PK2l7WJ3RER9xtqwdhxkhw/edit?usp=sharing"",""ระยอง!J399"")"),0)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IFERROR(__xludf.DUMMYFUNCTION("IMPORTRANGE(""https://docs.google.com/spreadsheets/d/1SX6NBoVAgQJ6U1MVXOaj8PK2l7WJ3RER9xtqwdhxkhw/edit?usp=sharing"",""ระยอง!I400"")"),0)</f>
        <v>0</v>
      </c>
      <c r="J505" s="199">
        <f ca="1">IFERROR(__xludf.DUMMYFUNCTION("IMPORTRANGE(""https://docs.google.com/spreadsheets/d/1SX6NBoVAgQJ6U1MVXOaj8PK2l7WJ3RER9xtqwdhxkhw/edit?usp=sharing"",""ระยอง!J400"")"),0)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IFERROR(__xludf.DUMMYFUNCTION("IMPORTRANGE(""https://docs.google.com/spreadsheets/d/1SX6NBoVAgQJ6U1MVXOaj8PK2l7WJ3RER9xtqwdhxkhw/edit?usp=sharing"",""ระยอง!I401"")"),0)</f>
        <v>0</v>
      </c>
      <c r="J506" s="190">
        <f ca="1">IFERROR(__xludf.DUMMYFUNCTION("IMPORTRANGE(""https://docs.google.com/spreadsheets/d/1SX6NBoVAgQJ6U1MVXOaj8PK2l7WJ3RER9xtqwdhxkhw/edit?usp=sharing"",""ระยอง!J401"")"),0)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IFERROR(__xludf.DUMMYFUNCTION("IMPORTRANGE(""https://docs.google.com/spreadsheets/d/1SX6NBoVAgQJ6U1MVXOaj8PK2l7WJ3RER9xtqwdhxkhw/edit?usp=sharing"",""ระยอง!I402"")"),0)</f>
        <v>0</v>
      </c>
      <c r="J507" s="199">
        <f ca="1">IFERROR(__xludf.DUMMYFUNCTION("IMPORTRANGE(""https://docs.google.com/spreadsheets/d/1SX6NBoVAgQJ6U1MVXOaj8PK2l7WJ3RER9xtqwdhxkhw/edit?usp=sharing"",""ระยอง!J402"")"),0)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IFERROR(__xludf.DUMMYFUNCTION("IMPORTRANGE(""https://docs.google.com/spreadsheets/d/1SX6NBoVAgQJ6U1MVXOaj8PK2l7WJ3RER9xtqwdhxkhw/edit?usp=sharing"",""ระยอง!I403"")"),0)</f>
        <v>0</v>
      </c>
      <c r="J508" s="164">
        <f ca="1">IFERROR(__xludf.DUMMYFUNCTION("IMPORTRANGE(""https://docs.google.com/spreadsheets/d/1SX6NBoVAgQJ6U1MVXOaj8PK2l7WJ3RER9xtqwdhxkhw/edit?usp=sharing"",""ระยอง!J403"")"),0)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IFERROR(__xludf.DUMMYFUNCTION("IMPORTRANGE(""https://docs.google.com/spreadsheets/d/1SX6NBoVAgQJ6U1MVXOaj8PK2l7WJ3RER9xtqwdhxkhw/edit?usp=sharing"",""ระยอง!I404"")"),0)</f>
        <v>0</v>
      </c>
      <c r="J509" s="164">
        <f ca="1">IFERROR(__xludf.DUMMYFUNCTION("IMPORTRANGE(""https://docs.google.com/spreadsheets/d/1SX6NBoVAgQJ6U1MVXOaj8PK2l7WJ3RER9xtqwdhxkhw/edit?usp=sharing"",""ระยอง!J404"")"),0)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IFERROR(__xludf.DUMMYFUNCTION("IMPORTRANGE(""https://docs.google.com/spreadsheets/d/1SX6NBoVAgQJ6U1MVXOaj8PK2l7WJ3RER9xtqwdhxkhw/edit?usp=sharing"",""ระยอง!I405"")"),0)</f>
        <v>0</v>
      </c>
      <c r="J510" s="199">
        <f ca="1">IFERROR(__xludf.DUMMYFUNCTION("IMPORTRANGE(""https://docs.google.com/spreadsheets/d/1SX6NBoVAgQJ6U1MVXOaj8PK2l7WJ3RER9xtqwdhxkhw/edit?usp=sharing"",""ระยอง!J405"")"),0)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IFERROR(__xludf.DUMMYFUNCTION("IMPORTRANGE(""https://docs.google.com/spreadsheets/d/1SX6NBoVAgQJ6U1MVXOaj8PK2l7WJ3RER9xtqwdhxkhw/edit?usp=sharing"",""ระยอง!I406"")"),0)</f>
        <v>0</v>
      </c>
      <c r="J511" s="199">
        <f ca="1">IFERROR(__xludf.DUMMYFUNCTION("IMPORTRANGE(""https://docs.google.com/spreadsheets/d/1SX6NBoVAgQJ6U1MVXOaj8PK2l7WJ3RER9xtqwdhxkhw/edit?usp=sharing"",""ระยอง!J406"")"),0)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IFERROR(__xludf.DUMMYFUNCTION("IMPORTRANGE(""https://docs.google.com/spreadsheets/d/1SX6NBoVAgQJ6U1MVXOaj8PK2l7WJ3RER9xtqwdhxkhw/edit?usp=sharing"",""ระยอง!I407"")"),0)</f>
        <v>0</v>
      </c>
      <c r="J512" s="199">
        <f ca="1">IFERROR(__xludf.DUMMYFUNCTION("IMPORTRANGE(""https://docs.google.com/spreadsheets/d/1SX6NBoVAgQJ6U1MVXOaj8PK2l7WJ3RER9xtqwdhxkhw/edit?usp=sharing"",""ระยอง!J407"")"),0)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IFERROR(__xludf.DUMMYFUNCTION("IMPORTRANGE(""https://docs.google.com/spreadsheets/d/1SX6NBoVAgQJ6U1MVXOaj8PK2l7WJ3RER9xtqwdhxkhw/edit?usp=sharing"",""ระยอง!I408"")"),0)</f>
        <v>0</v>
      </c>
      <c r="J513" s="199">
        <f ca="1">IFERROR(__xludf.DUMMYFUNCTION("IMPORTRANGE(""https://docs.google.com/spreadsheets/d/1SX6NBoVAgQJ6U1MVXOaj8PK2l7WJ3RER9xtqwdhxkhw/edit?usp=sharing"",""ระยอง!J408"")"),0)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IFERROR(__xludf.DUMMYFUNCTION("IMPORTRANGE(""https://docs.google.com/spreadsheets/d/1SX6NBoVAgQJ6U1MVXOaj8PK2l7WJ3RER9xtqwdhxkhw/edit?usp=sharing"",""ระยอง!I409"")"),0)</f>
        <v>0</v>
      </c>
      <c r="J514" s="199">
        <f ca="1">IFERROR(__xludf.DUMMYFUNCTION("IMPORTRANGE(""https://docs.google.com/spreadsheets/d/1SX6NBoVAgQJ6U1MVXOaj8PK2l7WJ3RER9xtqwdhxkhw/edit?usp=sharing"",""ระยอง!J409"")"),0)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IFERROR(__xludf.DUMMYFUNCTION("IMPORTRANGE(""https://docs.google.com/spreadsheets/d/1SX6NBoVAgQJ6U1MVXOaj8PK2l7WJ3RER9xtqwdhxkhw/edit?usp=sharing"",""ระยอง!I410"")"),0)</f>
        <v>0</v>
      </c>
      <c r="J515" s="199">
        <f ca="1">IFERROR(__xludf.DUMMYFUNCTION("IMPORTRANGE(""https://docs.google.com/spreadsheets/d/1SX6NBoVAgQJ6U1MVXOaj8PK2l7WJ3RER9xtqwdhxkhw/edit?usp=sharing"",""ระยอง!J410"")"),0)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IFERROR(__xludf.DUMMYFUNCTION("IMPORTRANGE(""https://docs.google.com/spreadsheets/d/1SX6NBoVAgQJ6U1MVXOaj8PK2l7WJ3RER9xtqwdhxkhw/edit?usp=sharing"",""ระยอง!I412"")"),0)</f>
        <v>0</v>
      </c>
      <c r="J517" s="284">
        <f ca="1">IFERROR(__xludf.DUMMYFUNCTION("IMPORTRANGE(""https://docs.google.com/spreadsheets/d/1SX6NBoVAgQJ6U1MVXOaj8PK2l7WJ3RER9xtqwdhxkhw/edit?usp=sharing"",""ระยอง!J412"")"),0)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IFERROR(__xludf.DUMMYFUNCTION("IMPORTRANGE(""https://docs.google.com/spreadsheets/d/1SX6NBoVAgQJ6U1MVXOaj8PK2l7WJ3RER9xtqwdhxkhw/edit?usp=sharing"",""ระยอง!I413"")"),0)</f>
        <v>0</v>
      </c>
      <c r="J518" s="284">
        <f ca="1">IFERROR(__xludf.DUMMYFUNCTION("IMPORTRANGE(""https://docs.google.com/spreadsheets/d/1SX6NBoVAgQJ6U1MVXOaj8PK2l7WJ3RER9xtqwdhxkhw/edit?usp=sharing"",""ระยอง!J413"")"),0)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IFERROR(__xludf.DUMMYFUNCTION("IMPORTRANGE(""https://docs.google.com/spreadsheets/d/1SX6NBoVAgQJ6U1MVXOaj8PK2l7WJ3RER9xtqwdhxkhw/edit?usp=sharing"",""ระยอง!I414"")"),0)</f>
        <v>0</v>
      </c>
      <c r="J519" s="189">
        <f ca="1">IFERROR(__xludf.DUMMYFUNCTION("IMPORTRANGE(""https://docs.google.com/spreadsheets/d/1SX6NBoVAgQJ6U1MVXOaj8PK2l7WJ3RER9xtqwdhxkhw/edit?usp=sharing"",""ระยอง!J414"")"),0)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IFERROR(__xludf.DUMMYFUNCTION("IMPORTRANGE(""https://docs.google.com/spreadsheets/d/1SX6NBoVAgQJ6U1MVXOaj8PK2l7WJ3RER9xtqwdhxkhw/edit?usp=sharing"",""ระยอง!I415"")"),0)</f>
        <v>0</v>
      </c>
      <c r="J520" s="189">
        <f ca="1">IFERROR(__xludf.DUMMYFUNCTION("IMPORTRANGE(""https://docs.google.com/spreadsheets/d/1SX6NBoVAgQJ6U1MVXOaj8PK2l7WJ3RER9xtqwdhxkhw/edit?usp=sharing"",""ระยอง!J415"")"),0)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IFERROR(__xludf.DUMMYFUNCTION("IMPORTRANGE(""https://docs.google.com/spreadsheets/d/1SX6NBoVAgQJ6U1MVXOaj8PK2l7WJ3RER9xtqwdhxkhw/edit?usp=sharing"",""ระยอง!I416"")"),0)</f>
        <v>0</v>
      </c>
      <c r="J521" s="189">
        <f ca="1">IFERROR(__xludf.DUMMYFUNCTION("IMPORTRANGE(""https://docs.google.com/spreadsheets/d/1SX6NBoVAgQJ6U1MVXOaj8PK2l7WJ3RER9xtqwdhxkhw/edit?usp=sharing"",""ระยอง!J416"")"),0)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IFERROR(__xludf.DUMMYFUNCTION("IMPORTRANGE(""https://docs.google.com/spreadsheets/d/1SX6NBoVAgQJ6U1MVXOaj8PK2l7WJ3RER9xtqwdhxkhw/edit?usp=sharing"",""ระยอง!I417"")"),0)</f>
        <v>0</v>
      </c>
      <c r="J522" s="189">
        <f ca="1">IFERROR(__xludf.DUMMYFUNCTION("IMPORTRANGE(""https://docs.google.com/spreadsheets/d/1SX6NBoVAgQJ6U1MVXOaj8PK2l7WJ3RER9xtqwdhxkhw/edit?usp=sharing"",""ระยอง!J417"")"),0)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IFERROR(__xludf.DUMMYFUNCTION("IMPORTRANGE(""https://docs.google.com/spreadsheets/d/1SX6NBoVAgQJ6U1MVXOaj8PK2l7WJ3RER9xtqwdhxkhw/edit?usp=sharing"",""ระยอง!I418"")"),0)</f>
        <v>0</v>
      </c>
      <c r="J523" s="189">
        <f ca="1">IFERROR(__xludf.DUMMYFUNCTION("IMPORTRANGE(""https://docs.google.com/spreadsheets/d/1SX6NBoVAgQJ6U1MVXOaj8PK2l7WJ3RER9xtqwdhxkhw/edit?usp=sharing"",""ระยอง!J418"")"),0)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IFERROR(__xludf.DUMMYFUNCTION("IMPORTRANGE(""https://docs.google.com/spreadsheets/d/1SX6NBoVAgQJ6U1MVXOaj8PK2l7WJ3RER9xtqwdhxkhw/edit?usp=sharing"",""ระยอง!I419"")"),0)</f>
        <v>0</v>
      </c>
      <c r="J524" s="189">
        <f ca="1">IFERROR(__xludf.DUMMYFUNCTION("IMPORTRANGE(""https://docs.google.com/spreadsheets/d/1SX6NBoVAgQJ6U1MVXOaj8PK2l7WJ3RER9xtqwdhxkhw/edit?usp=sharing"",""ระยอง!J419"")"),0)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IFERROR(__xludf.DUMMYFUNCTION("IMPORTRANGE(""https://docs.google.com/spreadsheets/d/1SX6NBoVAgQJ6U1MVXOaj8PK2l7WJ3RER9xtqwdhxkhw/edit?usp=sharing"",""ระยอง!I420"")"),0)</f>
        <v>0</v>
      </c>
      <c r="J525" s="284">
        <f ca="1">IFERROR(__xludf.DUMMYFUNCTION("IMPORTRANGE(""https://docs.google.com/spreadsheets/d/1SX6NBoVAgQJ6U1MVXOaj8PK2l7WJ3RER9xtqwdhxkhw/edit?usp=sharing"",""ระยอง!J420"")"),0)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IFERROR(__xludf.DUMMYFUNCTION("IMPORTRANGE(""https://docs.google.com/spreadsheets/d/1SX6NBoVAgQJ6U1MVXOaj8PK2l7WJ3RER9xtqwdhxkhw/edit?usp=sharing"",""ระยอง!I421"")"),0)</f>
        <v>0</v>
      </c>
      <c r="J526" s="284">
        <f ca="1">IFERROR(__xludf.DUMMYFUNCTION("IMPORTRANGE(""https://docs.google.com/spreadsheets/d/1SX6NBoVAgQJ6U1MVXOaj8PK2l7WJ3RER9xtqwdhxkhw/edit?usp=sharing"",""ระยอง!J421"")"),0)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IFERROR(__xludf.DUMMYFUNCTION("IMPORTRANGE(""https://docs.google.com/spreadsheets/d/1SX6NBoVAgQJ6U1MVXOaj8PK2l7WJ3RER9xtqwdhxkhw/edit?usp=sharing"",""ระยอง!I422"")"),0)</f>
        <v>0</v>
      </c>
      <c r="J527" s="199">
        <f ca="1">IFERROR(__xludf.DUMMYFUNCTION("IMPORTRANGE(""https://docs.google.com/spreadsheets/d/1SX6NBoVAgQJ6U1MVXOaj8PK2l7WJ3RER9xtqwdhxkhw/edit?usp=sharing"",""ระยอง!J422"")"),0)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IFERROR(__xludf.DUMMYFUNCTION("IMPORTRANGE(""https://docs.google.com/spreadsheets/d/1SX6NBoVAgQJ6U1MVXOaj8PK2l7WJ3RER9xtqwdhxkhw/edit?usp=sharing"",""ระยอง!I423"")"),0)</f>
        <v>0</v>
      </c>
      <c r="J528" s="199">
        <f ca="1">IFERROR(__xludf.DUMMYFUNCTION("IMPORTRANGE(""https://docs.google.com/spreadsheets/d/1SX6NBoVAgQJ6U1MVXOaj8PK2l7WJ3RER9xtqwdhxkhw/edit?usp=sharing"",""ระยอง!J423"")"),0)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IFERROR(__xludf.DUMMYFUNCTION("IMPORTRANGE(""https://docs.google.com/spreadsheets/d/1SX6NBoVAgQJ6U1MVXOaj8PK2l7WJ3RER9xtqwdhxkhw/edit?usp=sharing"",""ระยอง!I424"")"),0)</f>
        <v>0</v>
      </c>
      <c r="J529" s="199">
        <f ca="1">IFERROR(__xludf.DUMMYFUNCTION("IMPORTRANGE(""https://docs.google.com/spreadsheets/d/1SX6NBoVAgQJ6U1MVXOaj8PK2l7WJ3RER9xtqwdhxkhw/edit?usp=sharing"",""ระยอง!J424"")"),0)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IFERROR(__xludf.DUMMYFUNCTION("IMPORTRANGE(""https://docs.google.com/spreadsheets/d/1SX6NBoVAgQJ6U1MVXOaj8PK2l7WJ3RER9xtqwdhxkhw/edit?usp=sharing"",""ระยอง!I425"")"),0)</f>
        <v>0</v>
      </c>
      <c r="J530" s="199">
        <f ca="1">IFERROR(__xludf.DUMMYFUNCTION("IMPORTRANGE(""https://docs.google.com/spreadsheets/d/1SX6NBoVAgQJ6U1MVXOaj8PK2l7WJ3RER9xtqwdhxkhw/edit?usp=sharing"",""ระยอง!J425"")"),0)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IFERROR(__xludf.DUMMYFUNCTION("IMPORTRANGE(""https://docs.google.com/spreadsheets/d/1SX6NBoVAgQJ6U1MVXOaj8PK2l7WJ3RER9xtqwdhxkhw/edit?usp=sharing"",""ระยอง!I426"")"),0)</f>
        <v>0</v>
      </c>
      <c r="J531" s="199">
        <f ca="1">IFERROR(__xludf.DUMMYFUNCTION("IMPORTRANGE(""https://docs.google.com/spreadsheets/d/1SX6NBoVAgQJ6U1MVXOaj8PK2l7WJ3RER9xtqwdhxkhw/edit?usp=sharing"",""ระยอง!J426"")"),0)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IFERROR(__xludf.DUMMYFUNCTION("IMPORTRANGE(""https://docs.google.com/spreadsheets/d/1SX6NBoVAgQJ6U1MVXOaj8PK2l7WJ3RER9xtqwdhxkhw/edit?usp=sharing"",""ระยอง!M428"")"),29070)</f>
        <v>29070</v>
      </c>
      <c r="O533" s="412">
        <f t="shared" ref="O533:O537" ca="1" si="118">+IF(L533&gt;0,N533*100/L533,0)</f>
        <v>84.653465346534659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IFERROR(__xludf.DUMMYFUNCTION("IMPORTRANGE(""https://docs.google.com/spreadsheets/d/1SX6NBoVAgQJ6U1MVXOaj8PK2l7WJ3RER9xtqwdhxkhw/edit?usp=sharing"",""ระยอง!L429"")"),0)</f>
        <v>0</v>
      </c>
      <c r="M534" s="166"/>
      <c r="N534" s="170">
        <f ca="1">IFERROR(__xludf.DUMMYFUNCTION("IMPORTRANGE(""https://docs.google.com/spreadsheets/d/1SX6NBoVAgQJ6U1MVXOaj8PK2l7WJ3RER9xtqwdhxkhw/edit?usp=sharing"",""ระยอง!M429"")"),0)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IFERROR(__xludf.DUMMYFUNCTION("IMPORTRANGE(""https://docs.google.com/spreadsheets/d/1SX6NBoVAgQJ6U1MVXOaj8PK2l7WJ3RER9xtqwdhxkhw/edit?usp=sharing"",""ระยอง!L430"")"),34340)</f>
        <v>34340</v>
      </c>
      <c r="M535" s="167"/>
      <c r="N535" s="170">
        <f ca="1">IFERROR(__xludf.DUMMYFUNCTION("IMPORTRANGE(""https://docs.google.com/spreadsheets/d/1SX6NBoVAgQJ6U1MVXOaj8PK2l7WJ3RER9xtqwdhxkhw/edit?usp=sharing"",""ระยอง!M430"")"),29070)</f>
        <v>29070</v>
      </c>
      <c r="O535" s="170">
        <f t="shared" ca="1" si="118"/>
        <v>84.653465346534659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IFERROR(__xludf.DUMMYFUNCTION("IMPORTRANGE(""https://docs.google.com/spreadsheets/d/1SX6NBoVAgQJ6U1MVXOaj8PK2l7WJ3RER9xtqwdhxkhw/edit?usp=sharing"",""ระยอง!L431"")"),0)</f>
        <v>0</v>
      </c>
      <c r="M536" s="170"/>
      <c r="N536" s="170">
        <f ca="1">IFERROR(__xludf.DUMMYFUNCTION("IMPORTRANGE(""https://docs.google.com/spreadsheets/d/1SX6NBoVAgQJ6U1MVXOaj8PK2l7WJ3RER9xtqwdhxkhw/edit?usp=sharing"",""ระยอง!M431"")"),0)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IFERROR(__xludf.DUMMYFUNCTION("IMPORTRANGE(""https://docs.google.com/spreadsheets/d/1SX6NBoVAgQJ6U1MVXOaj8PK2l7WJ3RER9xtqwdhxkhw/edit?usp=sharing"",""ระยอง!L432"")"),34340)</f>
        <v>34340</v>
      </c>
      <c r="M537" s="170"/>
      <c r="N537" s="170">
        <f ca="1">IFERROR(__xludf.DUMMYFUNCTION("IMPORTRANGE(""https://docs.google.com/spreadsheets/d/1SX6NBoVAgQJ6U1MVXOaj8PK2l7WJ3RER9xtqwdhxkhw/edit?usp=sharing"",""ระยอง!M432"")"),29070)</f>
        <v>29070</v>
      </c>
      <c r="O537" s="170">
        <f t="shared" ca="1" si="118"/>
        <v>84.653465346534659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IFERROR(__xludf.DUMMYFUNCTION("IMPORTRANGE(""https://docs.google.com/spreadsheets/d/1SX6NBoVAgQJ6U1MVXOaj8PK2l7WJ3RER9xtqwdhxkhw/edit?usp=sharing"",""ระยอง!M433"")"),18740)</f>
        <v>18740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IFERROR(__xludf.DUMMYFUNCTION("IMPORTRANGE(""https://docs.google.com/spreadsheets/d/1SX6NBoVAgQJ6U1MVXOaj8PK2l7WJ3RER9xtqwdhxkhw/edit?usp=sharing"",""ระยอง!M436"")"),10330)</f>
        <v>10330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IFERROR(__xludf.DUMMYFUNCTION("IMPORTRANGE(""https://docs.google.com/spreadsheets/d/1SX6NBoVAgQJ6U1MVXOaj8PK2l7WJ3RER9xtqwdhxkhw/edit?usp=sharing"",""ระยอง!J438"")"),0)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IFERROR(__xludf.DUMMYFUNCTION("IMPORTRANGE(""https://docs.google.com/spreadsheets/d/1SX6NBoVAgQJ6U1MVXOaj8PK2l7WJ3RER9xtqwdhxkhw/edit?usp=sharing"",""ระยอง!J439"")"),1)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IFERROR(__xludf.DUMMYFUNCTION("IMPORTRANGE(""https://docs.google.com/spreadsheets/d/1SX6NBoVAgQJ6U1MVXOaj8PK2l7WJ3RER9xtqwdhxkhw/edit?usp=sharing"",""ระยอง!J440"")"),1)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IFERROR(__xludf.DUMMYFUNCTION("IMPORTRANGE(""https://docs.google.com/spreadsheets/d/1SX6NBoVAgQJ6U1MVXOaj8PK2l7WJ3RER9xtqwdhxkhw/edit?usp=sharing"",""ระยอง!J441"")"),1)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IFERROR(__xludf.DUMMYFUNCTION("IMPORTRANGE(""https://docs.google.com/spreadsheets/d/1SX6NBoVAgQJ6U1MVXOaj8PK2l7WJ3RER9xtqwdhxkhw/edit?usp=sharing"",""ระยอง!I442"")"),22)</f>
        <v>22</v>
      </c>
      <c r="J547" s="190">
        <f ca="1">IFERROR(__xludf.DUMMYFUNCTION("IMPORTRANGE(""https://docs.google.com/spreadsheets/d/1SX6NBoVAgQJ6U1MVXOaj8PK2l7WJ3RER9xtqwdhxkhw/edit?usp=sharing"",""ระยอง!J442"")"),22)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IFERROR(__xludf.DUMMYFUNCTION("IMPORTRANGE(""https://docs.google.com/spreadsheets/d/1SX6NBoVAgQJ6U1MVXOaj8PK2l7WJ3RER9xtqwdhxkhw/edit?usp=sharing"",""ระยอง!J166"")"),0)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IFERROR(__xludf.DUMMYFUNCTION("IMPORTRANGE(""https://docs.google.com/spreadsheets/d/1SX6NBoVAgQJ6U1MVXOaj8PK2l7WJ3RER9xtqwdhxkhw/edit?usp=sharing"",""ระยอง!J444"")"),0)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IFERROR(__xludf.DUMMYFUNCTION("IMPORTRANGE(""https://docs.google.com/spreadsheets/d/1SX6NBoVAgQJ6U1MVXOaj8PK2l7WJ3RER9xtqwdhxkhw/edit?usp=sharing"",""ระยอง!L447"")"),0)</f>
        <v>0</v>
      </c>
      <c r="M552" s="166"/>
      <c r="N552" s="170">
        <f ca="1">IFERROR(__xludf.DUMMYFUNCTION("IMPORTRANGE(""https://docs.google.com/spreadsheets/d/1SX6NBoVAgQJ6U1MVXOaj8PK2l7WJ3RER9xtqwdhxkhw/edit?usp=sharing"",""ระยอง!M447"")"),0)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IFERROR(__xludf.DUMMYFUNCTION("IMPORTRANGE(""https://docs.google.com/spreadsheets/d/1SX6NBoVAgQJ6U1MVXOaj8PK2l7WJ3RER9xtqwdhxkhw/edit?usp=sharing"",""ระยอง!L448"")"),0)</f>
        <v>0</v>
      </c>
      <c r="M553" s="167"/>
      <c r="N553" s="170">
        <f ca="1">IFERROR(__xludf.DUMMYFUNCTION("IMPORTRANGE(""https://docs.google.com/spreadsheets/d/1SX6NBoVAgQJ6U1MVXOaj8PK2l7WJ3RER9xtqwdhxkhw/edit?usp=sharing"",""ระยอง!M448"")"),0)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IFERROR(__xludf.DUMMYFUNCTION("IMPORTRANGE(""https://docs.google.com/spreadsheets/d/1SX6NBoVAgQJ6U1MVXOaj8PK2l7WJ3RER9xtqwdhxkhw/edit?usp=sharing"",""ระยอง!L449"")"),0)</f>
        <v>0</v>
      </c>
      <c r="M554" s="170"/>
      <c r="N554" s="170">
        <f ca="1">IFERROR(__xludf.DUMMYFUNCTION("IMPORTRANGE(""https://docs.google.com/spreadsheets/d/1SX6NBoVAgQJ6U1MVXOaj8PK2l7WJ3RER9xtqwdhxkhw/edit?usp=sharing"",""ระยอง!M449"")"),0)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IFERROR(__xludf.DUMMYFUNCTION("IMPORTRANGE(""https://docs.google.com/spreadsheets/d/1SX6NBoVAgQJ6U1MVXOaj8PK2l7WJ3RER9xtqwdhxkhw/edit?usp=sharing"",""ระยอง!L450"")"),0)</f>
        <v>0</v>
      </c>
      <c r="M555" s="170"/>
      <c r="N555" s="170">
        <f ca="1">IFERROR(__xludf.DUMMYFUNCTION("IMPORTRANGE(""https://docs.google.com/spreadsheets/d/1SX6NBoVAgQJ6U1MVXOaj8PK2l7WJ3RER9xtqwdhxkhw/edit?usp=sharing"",""ระยอง!M450"")"),0)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IFERROR(__xludf.DUMMYFUNCTION("IMPORTRANGE(""https://docs.google.com/spreadsheets/d/1SX6NBoVAgQJ6U1MVXOaj8PK2l7WJ3RER9xtqwdhxkhw/edit?usp=sharing"",""ระยอง!M451"")"),0)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IFERROR(__xludf.DUMMYFUNCTION("IMPORTRANGE(""https://docs.google.com/spreadsheets/d/1SX6NBoVAgQJ6U1MVXOaj8PK2l7WJ3RER9xtqwdhxkhw/edit?usp=sharing"",""ระยอง!M452"")"),0)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IFERROR(__xludf.DUMMYFUNCTION("IMPORTRANGE(""https://docs.google.com/spreadsheets/d/1SX6NBoVAgQJ6U1MVXOaj8PK2l7WJ3RER9xtqwdhxkhw/edit?usp=sharing"",""ระยอง!M453"")"),0)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IFERROR(__xludf.DUMMYFUNCTION("IMPORTRANGE(""https://docs.google.com/spreadsheets/d/1SX6NBoVAgQJ6U1MVXOaj8PK2l7WJ3RER9xtqwdhxkhw/edit?usp=sharing"",""ระยอง!M454"")"),0)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IFERROR(__xludf.DUMMYFUNCTION("IMPORTRANGE(""https://docs.google.com/spreadsheets/d/1SX6NBoVAgQJ6U1MVXOaj8PK2l7WJ3RER9xtqwdhxkhw/edit?usp=sharing"",""ระยอง!I455"")"),0)</f>
        <v>0</v>
      </c>
      <c r="J560" s="164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IFERROR(__xludf.DUMMYFUNCTION("IMPORTRANGE(""https://docs.google.com/spreadsheets/d/1SX6NBoVAgQJ6U1MVXOaj8PK2l7WJ3RER9xtqwdhxkhw/edit?usp=sharing"",""ระยอง!I456"")"),0)</f>
        <v>0</v>
      </c>
      <c r="J561" s="205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IFERROR(__xludf.DUMMYFUNCTION("IMPORTRANGE(""https://docs.google.com/spreadsheets/d/1SX6NBoVAgQJ6U1MVXOaj8PK2l7WJ3RER9xtqwdhxkhw/edit?usp=sharing"",""ระยอง!I457"")"),0)</f>
        <v>0</v>
      </c>
      <c r="J562" s="205" t="str">
        <f ca="1">IFERROR(__xludf.DUMMYFUNCTION("IMPORTRANGE(""https://docs.google.com/spreadsheets/d/1SX6NBoVAgQJ6U1MVXOaj8PK2l7WJ3RER9xtqwdhxkhw/edit?usp=sharing"",""ระยอง!J457"")"),"")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IFERROR(__xludf.DUMMYFUNCTION("IMPORTRANGE(""https://docs.google.com/spreadsheets/d/1SX6NBoVAgQJ6U1MVXOaj8PK2l7WJ3RER9xtqwdhxkhw/edit?usp=sharing"",""ระยอง!I458"")"),0)</f>
        <v>0</v>
      </c>
      <c r="J563" s="189" t="str">
        <f ca="1">IFERROR(__xludf.DUMMYFUNCTION("IMPORTRANGE(""https://docs.google.com/spreadsheets/d/1SX6NBoVAgQJ6U1MVXOaj8PK2l7WJ3RER9xtqwdhxkhw/edit?usp=sharing"",""ระยอง!J458"")"),"")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IFERROR(__xludf.DUMMYFUNCTION("IMPORTRANGE(""https://docs.google.com/spreadsheets/d/1SX6NBoVAgQJ6U1MVXOaj8PK2l7WJ3RER9xtqwdhxkhw/edit?usp=sharing"",""ระยอง!J459"")"),245)</f>
        <v>245</v>
      </c>
      <c r="K564" s="372">
        <f t="shared" ca="1" si="121"/>
        <v>122.5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IFERROR(__xludf.DUMMYFUNCTION("IMPORTRANGE(""https://docs.google.com/spreadsheets/d/1SX6NBoVAgQJ6U1MVXOaj8PK2l7WJ3RER9xtqwdhxkhw/edit?usp=sharing"",""ระยอง!M459"")"),16149)</f>
        <v>16149</v>
      </c>
      <c r="O564" s="373">
        <f t="shared" ref="O564:O568" ca="1" si="122">+IF(L564&gt;0,N564*100/L564,0)</f>
        <v>13.377236580516898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IFERROR(__xludf.DUMMYFUNCTION("IMPORTRANGE(""https://docs.google.com/spreadsheets/d/1SX6NBoVAgQJ6U1MVXOaj8PK2l7WJ3RER9xtqwdhxkhw/edit?usp=sharing"",""ระยอง!L460"")"),0)</f>
        <v>0</v>
      </c>
      <c r="M565" s="166"/>
      <c r="N565" s="170">
        <f ca="1">IFERROR(__xludf.DUMMYFUNCTION("IMPORTRANGE(""https://docs.google.com/spreadsheets/d/1SX6NBoVAgQJ6U1MVXOaj8PK2l7WJ3RER9xtqwdhxkhw/edit?usp=sharing"",""ระยอง!M460"")"),0)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IFERROR(__xludf.DUMMYFUNCTION("IMPORTRANGE(""https://docs.google.com/spreadsheets/d/1SX6NBoVAgQJ6U1MVXOaj8PK2l7WJ3RER9xtqwdhxkhw/edit?usp=sharing"",""ระยอง!L461"")"),120720)</f>
        <v>120720</v>
      </c>
      <c r="M566" s="167"/>
      <c r="N566" s="170">
        <f ca="1">IFERROR(__xludf.DUMMYFUNCTION("IMPORTRANGE(""https://docs.google.com/spreadsheets/d/1SX6NBoVAgQJ6U1MVXOaj8PK2l7WJ3RER9xtqwdhxkhw/edit?usp=sharing"",""ระยอง!M461"")"),16149)</f>
        <v>16149</v>
      </c>
      <c r="O566" s="170">
        <f t="shared" ca="1" si="122"/>
        <v>13.377236580516898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IFERROR(__xludf.DUMMYFUNCTION("IMPORTRANGE(""https://docs.google.com/spreadsheets/d/1SX6NBoVAgQJ6U1MVXOaj8PK2l7WJ3RER9xtqwdhxkhw/edit?usp=sharing"",""ระยอง!L462"")"),0)</f>
        <v>0</v>
      </c>
      <c r="M567" s="170"/>
      <c r="N567" s="170">
        <f ca="1">IFERROR(__xludf.DUMMYFUNCTION("IMPORTRANGE(""https://docs.google.com/spreadsheets/d/1SX6NBoVAgQJ6U1MVXOaj8PK2l7WJ3RER9xtqwdhxkhw/edit?usp=sharing"",""ระยอง!M462"")"),0)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IFERROR(__xludf.DUMMYFUNCTION("IMPORTRANGE(""https://docs.google.com/spreadsheets/d/1SX6NBoVAgQJ6U1MVXOaj8PK2l7WJ3RER9xtqwdhxkhw/edit?usp=sharing"",""ระยอง!L463"")"),120720)</f>
        <v>120720</v>
      </c>
      <c r="M568" s="170"/>
      <c r="N568" s="170">
        <f ca="1">IFERROR(__xludf.DUMMYFUNCTION("IMPORTRANGE(""https://docs.google.com/spreadsheets/d/1SX6NBoVAgQJ6U1MVXOaj8PK2l7WJ3RER9xtqwdhxkhw/edit?usp=sharing"",""ระยอง!M463"")"),16149)</f>
        <v>16149</v>
      </c>
      <c r="O568" s="170">
        <f t="shared" ca="1" si="122"/>
        <v>13.377236580516898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IFERROR(__xludf.DUMMYFUNCTION("IMPORTRANGE(""https://docs.google.com/spreadsheets/d/1SX6NBoVAgQJ6U1MVXOaj8PK2l7WJ3RER9xtqwdhxkhw/edit?usp=sharing"",""ระยอง!M464"")"),0)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IFERROR(__xludf.DUMMYFUNCTION("IMPORTRANGE(""https://docs.google.com/spreadsheets/d/1SX6NBoVAgQJ6U1MVXOaj8PK2l7WJ3RER9xtqwdhxkhw/edit?usp=sharing"",""ระยอง!M465"")"),0)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IFERROR(__xludf.DUMMYFUNCTION("IMPORTRANGE(""https://docs.google.com/spreadsheets/d/1SX6NBoVAgQJ6U1MVXOaj8PK2l7WJ3RER9xtqwdhxkhw/edit?usp=sharing"",""ระยอง!M467"")"),16149)</f>
        <v>16149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IFERROR(__xludf.DUMMYFUNCTION("IMPORTRANGE(""https://docs.google.com/spreadsheets/d/1SX6NBoVAgQJ6U1MVXOaj8PK2l7WJ3RER9xtqwdhxkhw/edit?usp=sharing"",""ระยอง!J468"")"),245)</f>
        <v>245</v>
      </c>
      <c r="K573" s="203">
        <f ca="1">IF(I573&gt;0,J573*100/I573,0)</f>
        <v>122.5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IFERROR(__xludf.DUMMYFUNCTION("IMPORTRANGE(""https://docs.google.com/spreadsheets/d/1SX6NBoVAgQJ6U1MVXOaj8PK2l7WJ3RER9xtqwdhxkhw/edit?usp=sharing"",""ระยอง!I470"")"),0)</f>
        <v>0</v>
      </c>
      <c r="J575" s="199">
        <f ca="1">IFERROR(__xludf.DUMMYFUNCTION("IMPORTRANGE(""https://docs.google.com/spreadsheets/d/1SX6NBoVAgQJ6U1MVXOaj8PK2l7WJ3RER9xtqwdhxkhw/edit?usp=sharing"",""ระยอง!J470"")"),2)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IFERROR(__xludf.DUMMYFUNCTION("IMPORTRANGE(""https://docs.google.com/spreadsheets/d/1SX6NBoVAgQJ6U1MVXOaj8PK2l7WJ3RER9xtqwdhxkhw/edit?usp=sharing"",""ระยอง!I471"")"),0)</f>
        <v>0</v>
      </c>
      <c r="J576" s="199">
        <f ca="1">IFERROR(__xludf.DUMMYFUNCTION("IMPORTRANGE(""https://docs.google.com/spreadsheets/d/1SX6NBoVAgQJ6U1MVXOaj8PK2l7WJ3RER9xtqwdhxkhw/edit?usp=sharing"",""ระยอง!J471"")"),100)</f>
        <v>100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IFERROR(__xludf.DUMMYFUNCTION("IMPORTRANGE(""https://docs.google.com/spreadsheets/d/1SX6NBoVAgQJ6U1MVXOaj8PK2l7WJ3RER9xtqwdhxkhw/edit?usp=sharing"",""ระยอง!I472"")"),0)</f>
        <v>0</v>
      </c>
      <c r="J577" s="190">
        <f ca="1">IFERROR(__xludf.DUMMYFUNCTION("IMPORTRANGE(""https://docs.google.com/spreadsheets/d/1SX6NBoVAgQJ6U1MVXOaj8PK2l7WJ3RER9xtqwdhxkhw/edit?usp=sharing"",""ระยอง!J472"")"),65)</f>
        <v>65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IFERROR(__xludf.DUMMYFUNCTION("IMPORTRANGE(""https://docs.google.com/spreadsheets/d/1SX6NBoVAgQJ6U1MVXOaj8PK2l7WJ3RER9xtqwdhxkhw/edit?usp=sharing"",""ระยอง!I473"")"),0)</f>
        <v>0</v>
      </c>
      <c r="J578" s="199">
        <f ca="1">IFERROR(__xludf.DUMMYFUNCTION("IMPORTRANGE(""https://docs.google.com/spreadsheets/d/1SX6NBoVAgQJ6U1MVXOaj8PK2l7WJ3RER9xtqwdhxkhw/edit?usp=sharing"",""ระยอง!J473"")"),0)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IFERROR(__xludf.DUMMYFUNCTION("IMPORTRANGE(""https://docs.google.com/spreadsheets/d/1SX6NBoVAgQJ6U1MVXOaj8PK2l7WJ3RER9xtqwdhxkhw/edit?usp=sharing"",""ระยอง!I474"")"),0)</f>
        <v>0</v>
      </c>
      <c r="J579" s="199">
        <f ca="1">IFERROR(__xludf.DUMMYFUNCTION("IMPORTRANGE(""https://docs.google.com/spreadsheets/d/1SX6NBoVAgQJ6U1MVXOaj8PK2l7WJ3RER9xtqwdhxkhw/edit?usp=sharing"",""ระยอง!J474"")"),80)</f>
        <v>80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IFERROR(__xludf.DUMMYFUNCTION("IMPORTRANGE(""https://docs.google.com/spreadsheets/d/1SX6NBoVAgQJ6U1MVXOaj8PK2l7WJ3RER9xtqwdhxkhw/edit?usp=sharing"",""ระยอง!L475"")"),92960)</f>
        <v>92960</v>
      </c>
      <c r="M580" s="373"/>
      <c r="N580" s="373">
        <f ca="1">IFERROR(__xludf.DUMMYFUNCTION("IMPORTRANGE(""https://docs.google.com/spreadsheets/d/1SX6NBoVAgQJ6U1MVXOaj8PK2l7WJ3RER9xtqwdhxkhw/edit?usp=sharing"",""ระยอง!M475"")"),0)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IFERROR(__xludf.DUMMYFUNCTION("IMPORTRANGE(""https://docs.google.com/spreadsheets/d/1SX6NBoVAgQJ6U1MVXOaj8PK2l7WJ3RER9xtqwdhxkhw/edit?usp=sharing"",""ระยอง!L476"")"),0)</f>
        <v>0</v>
      </c>
      <c r="M581" s="166"/>
      <c r="N581" s="170">
        <f ca="1">IFERROR(__xludf.DUMMYFUNCTION("IMPORTRANGE(""https://docs.google.com/spreadsheets/d/1SX6NBoVAgQJ6U1MVXOaj8PK2l7WJ3RER9xtqwdhxkhw/edit?usp=sharing"",""ระยอง!M476"")"),0)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IFERROR(__xludf.DUMMYFUNCTION("IMPORTRANGE(""https://docs.google.com/spreadsheets/d/1SX6NBoVAgQJ6U1MVXOaj8PK2l7WJ3RER9xtqwdhxkhw/edit?usp=sharing"",""ระยอง!L477"")"),92960)</f>
        <v>92960</v>
      </c>
      <c r="M582" s="167"/>
      <c r="N582" s="170">
        <f ca="1">IFERROR(__xludf.DUMMYFUNCTION("IMPORTRANGE(""https://docs.google.com/spreadsheets/d/1SX6NBoVAgQJ6U1MVXOaj8PK2l7WJ3RER9xtqwdhxkhw/edit?usp=sharing"",""ระยอง!M477"")"),0)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IFERROR(__xludf.DUMMYFUNCTION("IMPORTRANGE(""https://docs.google.com/spreadsheets/d/1SX6NBoVAgQJ6U1MVXOaj8PK2l7WJ3RER9xtqwdhxkhw/edit?usp=sharing"",""ระยอง!L478"")"),0)</f>
        <v>0</v>
      </c>
      <c r="M583" s="170"/>
      <c r="N583" s="170">
        <f ca="1">IFERROR(__xludf.DUMMYFUNCTION("IMPORTRANGE(""https://docs.google.com/spreadsheets/d/1SX6NBoVAgQJ6U1MVXOaj8PK2l7WJ3RER9xtqwdhxkhw/edit?usp=sharing"",""ระยอง!M478"")"),0)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IFERROR(__xludf.DUMMYFUNCTION("IMPORTRANGE(""https://docs.google.com/spreadsheets/d/1SX6NBoVAgQJ6U1MVXOaj8PK2l7WJ3RER9xtqwdhxkhw/edit?usp=sharing"",""ระยอง!L479"")"),92960)</f>
        <v>92960</v>
      </c>
      <c r="M584" s="170"/>
      <c r="N584" s="170">
        <f ca="1">IFERROR(__xludf.DUMMYFUNCTION("IMPORTRANGE(""https://docs.google.com/spreadsheets/d/1SX6NBoVAgQJ6U1MVXOaj8PK2l7WJ3RER9xtqwdhxkhw/edit?usp=sharing"",""ระยอง!M479"")"),0)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IFERROR(__xludf.DUMMYFUNCTION("IMPORTRANGE(""https://docs.google.com/spreadsheets/d/1SX6NBoVAgQJ6U1MVXOaj8PK2l7WJ3RER9xtqwdhxkhw/edit?usp=sharing"",""ระยอง!M480"")"),0)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IFERROR(__xludf.DUMMYFUNCTION("IMPORTRANGE(""https://docs.google.com/spreadsheets/d/1SX6NBoVAgQJ6U1MVXOaj8PK2l7WJ3RER9xtqwdhxkhw/edit?usp=sharing"",""ระยอง!M481"")"),0)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IFERROR(__xludf.DUMMYFUNCTION("IMPORTRANGE(""https://docs.google.com/spreadsheets/d/1SX6NBoVAgQJ6U1MVXOaj8PK2l7WJ3RER9xtqwdhxkhw/edit?usp=sharing"",""ระยอง!M482"")"),0)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IFERROR(__xludf.DUMMYFUNCTION("IMPORTRANGE(""https://docs.google.com/spreadsheets/d/1SX6NBoVAgQJ6U1MVXOaj8PK2l7WJ3RER9xtqwdhxkhw/edit?usp=sharing"",""ระยอง!M483"")"),0)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IFERROR(__xludf.DUMMYFUNCTION("IMPORTRANGE(""https://docs.google.com/spreadsheets/d/1SX6NBoVAgQJ6U1MVXOaj8PK2l7WJ3RER9xtqwdhxkhw/edit?usp=sharing"",""ระยอง!I484"")"),0)</f>
        <v>0</v>
      </c>
      <c r="J589" s="189">
        <f ca="1">IFERROR(__xludf.DUMMYFUNCTION("IMPORTRANGE(""https://docs.google.com/spreadsheets/d/1SX6NBoVAgQJ6U1MVXOaj8PK2l7WJ3RER9xtqwdhxkhw/edit?usp=sharing"",""ระยอง!J484"")"),1)</f>
        <v>1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9">
        <f ca="1">IFERROR(__xludf.DUMMYFUNCTION("IMPORTRANGE(""https://docs.google.com/spreadsheets/d/1SX6NBoVAgQJ6U1MVXOaj8PK2l7WJ3RER9xtqwdhxkhw/edit?usp=sharing"",""ระยอง!J485"")"),1.36)</f>
        <v>1.36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IFERROR(__xludf.DUMMYFUNCTION("IMPORTRANGE(""https://docs.google.com/spreadsheets/d/1SX6NBoVAgQJ6U1MVXOaj8PK2l7WJ3RER9xtqwdhxkhw/edit?usp=sharing"",""ระยอง!I486"")"),0)</f>
        <v>0</v>
      </c>
      <c r="J591" s="189">
        <f ca="1">IFERROR(__xludf.DUMMYFUNCTION("IMPORTRANGE(""https://docs.google.com/spreadsheets/d/1SX6NBoVAgQJ6U1MVXOaj8PK2l7WJ3RER9xtqwdhxkhw/edit?usp=sharing"",""ระยอง!J486"")"),0)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9">
        <f ca="1">IFERROR(__xludf.DUMMYFUNCTION("IMPORTRANGE(""https://docs.google.com/spreadsheets/d/1SX6NBoVAgQJ6U1MVXOaj8PK2l7WJ3RER9xtqwdhxkhw/edit?usp=sharing"",""ระยอง!J487"")"),0)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IFERROR(__xludf.DUMMYFUNCTION("IMPORTRANGE(""https://docs.google.com/spreadsheets/d/1SX6NBoVAgQJ6U1MVXOaj8PK2l7WJ3RER9xtqwdhxkhw/edit?usp=sharing"",""ระยอง!I488"")"),0)</f>
        <v>0</v>
      </c>
      <c r="J593" s="189">
        <f ca="1">IFERROR(__xludf.DUMMYFUNCTION("IMPORTRANGE(""https://docs.google.com/spreadsheets/d/1SX6NBoVAgQJ6U1MVXOaj8PK2l7WJ3RER9xtqwdhxkhw/edit?usp=sharing"",""ระยอง!J488"")"),0)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9">
        <f ca="1">IFERROR(__xludf.DUMMYFUNCTION("IMPORTRANGE(""https://docs.google.com/spreadsheets/d/1SX6NBoVAgQJ6U1MVXOaj8PK2l7WJ3RER9xtqwdhxkhw/edit?usp=sharing"",""ระยอง!J489"")"),0)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IFERROR(__xludf.DUMMYFUNCTION("IMPORTRANGE(""https://docs.google.com/spreadsheets/d/1SX6NBoVAgQJ6U1MVXOaj8PK2l7WJ3RER9xtqwdhxkhw/edit?usp=sharing"",""ระยอง!I490"")"),0)</f>
        <v>0</v>
      </c>
      <c r="J595" s="189">
        <f ca="1">IFERROR(__xludf.DUMMYFUNCTION("IMPORTRANGE(""https://docs.google.com/spreadsheets/d/1SX6NBoVAgQJ6U1MVXOaj8PK2l7WJ3RER9xtqwdhxkhw/edit?usp=sharing"",""ระยอง!J490"")"),0)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7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IFERROR(__xludf.DUMMYFUNCTION("IMPORTRANGE(""https://docs.google.com/spreadsheets/d/1SX6NBoVAgQJ6U1MVXOaj8PK2l7WJ3RER9xtqwdhxkhw/edit?usp=sharing"",""ระยอง!L493"")"),0)</f>
        <v>0</v>
      </c>
      <c r="M598" s="166"/>
      <c r="N598" s="170">
        <f ca="1">IFERROR(__xludf.DUMMYFUNCTION("IMPORTRANGE(""https://docs.google.com/spreadsheets/d/1SX6NBoVAgQJ6U1MVXOaj8PK2l7WJ3RER9xtqwdhxkhw/edit?usp=sharing"",""ระยอง!M493"")"),0)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IFERROR(__xludf.DUMMYFUNCTION("IMPORTRANGE(""https://docs.google.com/spreadsheets/d/1SX6NBoVAgQJ6U1MVXOaj8PK2l7WJ3RER9xtqwdhxkhw/edit?usp=sharing"",""ระยอง!L494"")"),4550)</f>
        <v>4550</v>
      </c>
      <c r="M599" s="167"/>
      <c r="N599" s="170">
        <f ca="1">IFERROR(__xludf.DUMMYFUNCTION("IMPORTRANGE(""https://docs.google.com/spreadsheets/d/1SX6NBoVAgQJ6U1MVXOaj8PK2l7WJ3RER9xtqwdhxkhw/edit?usp=sharing"",""ระยอง!M494"")"),1300)</f>
        <v>1300</v>
      </c>
      <c r="O599" s="170">
        <f t="shared" ca="1" si="126"/>
        <v>28.571428571428573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IFERROR(__xludf.DUMMYFUNCTION("IMPORTRANGE(""https://docs.google.com/spreadsheets/d/1SX6NBoVAgQJ6U1MVXOaj8PK2l7WJ3RER9xtqwdhxkhw/edit?usp=sharing"",""ระยอง!L495"")"),0)</f>
        <v>0</v>
      </c>
      <c r="M600" s="170"/>
      <c r="N600" s="170">
        <f ca="1">IFERROR(__xludf.DUMMYFUNCTION("IMPORTRANGE(""https://docs.google.com/spreadsheets/d/1SX6NBoVAgQJ6U1MVXOaj8PK2l7WJ3RER9xtqwdhxkhw/edit?usp=sharing"",""ระยอง!M495"")"),0)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IFERROR(__xludf.DUMMYFUNCTION("IMPORTRANGE(""https://docs.google.com/spreadsheets/d/1SX6NBoVAgQJ6U1MVXOaj8PK2l7WJ3RER9xtqwdhxkhw/edit?usp=sharing"",""ระยอง!L496"")"),4550)</f>
        <v>4550</v>
      </c>
      <c r="M601" s="170"/>
      <c r="N601" s="170">
        <f ca="1">IFERROR(__xludf.DUMMYFUNCTION("IMPORTRANGE(""https://docs.google.com/spreadsheets/d/1SX6NBoVAgQJ6U1MVXOaj8PK2l7WJ3RER9xtqwdhxkhw/edit?usp=sharing"",""ระยอง!M496"")"),1300)</f>
        <v>1300</v>
      </c>
      <c r="O601" s="170">
        <f t="shared" ca="1" si="126"/>
        <v>28.571428571428573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IFERROR(__xludf.DUMMYFUNCTION("IMPORTRANGE(""https://docs.google.com/spreadsheets/d/1SX6NBoVAgQJ6U1MVXOaj8PK2l7WJ3RER9xtqwdhxkhw/edit?usp=sharing"",""ระยอง!M497"")"),0)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IFERROR(__xludf.DUMMYFUNCTION("IMPORTRANGE(""https://docs.google.com/spreadsheets/d/1SX6NBoVAgQJ6U1MVXOaj8PK2l7WJ3RER9xtqwdhxkhw/edit?usp=sharing"",""ระยอง!M498"")"),0)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IFERROR(__xludf.DUMMYFUNCTION("IMPORTRANGE(""https://docs.google.com/spreadsheets/d/1SX6NBoVAgQJ6U1MVXOaj8PK2l7WJ3RER9xtqwdhxkhw/edit?usp=sharing"",""ระยอง!J502"")"),0)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IFERROR(__xludf.DUMMYFUNCTION("IMPORTRANGE(""https://docs.google.com/spreadsheets/d/1SX6NBoVAgQJ6U1MVXOaj8PK2l7WJ3RER9xtqwdhxkhw/edit?usp=sharing"",""ระยอง!J503"")"),1)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IFERROR(__xludf.DUMMYFUNCTION("IMPORTRANGE(""https://docs.google.com/spreadsheets/d/1SX6NBoVAgQJ6U1MVXOaj8PK2l7WJ3RER9xtqwdhxkhw/edit?usp=sharing"",""ระยอง!I506"")"),50)</f>
        <v>50</v>
      </c>
      <c r="J611" s="164">
        <f ca="1">IFERROR(__xludf.DUMMYFUNCTION("IMPORTRANGE(""https://docs.google.com/spreadsheets/d/1SX6NBoVAgQJ6U1MVXOaj8PK2l7WJ3RER9xtqwdhxkhw/edit?usp=sharing"",""ระยอง!J506"")"),0)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IFERROR(__xludf.DUMMYFUNCTION("IMPORTRANGE(""https://docs.google.com/spreadsheets/d/1SX6NBoVAgQJ6U1MVXOaj8PK2l7WJ3RER9xtqwdhxkhw/edit?usp=sharing"",""ระยอง!I507"")"),0)</f>
        <v>0</v>
      </c>
      <c r="J612" s="199">
        <f ca="1">IFERROR(__xludf.DUMMYFUNCTION("IMPORTRANGE(""https://docs.google.com/spreadsheets/d/1SX6NBoVAgQJ6U1MVXOaj8PK2l7WJ3RER9xtqwdhxkhw/edit?usp=sharing"",""ระยอง!J507"")"),0)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IFERROR(__xludf.DUMMYFUNCTION("IMPORTRANGE(""https://docs.google.com/spreadsheets/d/1SX6NBoVAgQJ6U1MVXOaj8PK2l7WJ3RER9xtqwdhxkhw/edit?usp=sharing"",""ระยอง!I508"")"),0)</f>
        <v>0</v>
      </c>
      <c r="J613" s="199">
        <f ca="1">IFERROR(__xludf.DUMMYFUNCTION("IMPORTRANGE(""https://docs.google.com/spreadsheets/d/1SX6NBoVAgQJ6U1MVXOaj8PK2l7WJ3RER9xtqwdhxkhw/edit?usp=sharing"",""ระยอง!J508"")"),0)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IFERROR(__xludf.DUMMYFUNCTION("IMPORTRANGE(""https://docs.google.com/spreadsheets/d/1SX6NBoVAgQJ6U1MVXOaj8PK2l7WJ3RER9xtqwdhxkhw/edit?usp=sharing"",""ระยอง!I509"")"),0)</f>
        <v>0</v>
      </c>
      <c r="J614" s="199">
        <f ca="1">IFERROR(__xludf.DUMMYFUNCTION("IMPORTRANGE(""https://docs.google.com/spreadsheets/d/1SX6NBoVAgQJ6U1MVXOaj8PK2l7WJ3RER9xtqwdhxkhw/edit?usp=sharing"",""ระยอง!J509"")"),0)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IFERROR(__xludf.DUMMYFUNCTION("IMPORTRANGE(""https://docs.google.com/spreadsheets/d/1SX6NBoVAgQJ6U1MVXOaj8PK2l7WJ3RER9xtqwdhxkhw/edit?usp=sharing"",""ระยอง!I510"")"),0)</f>
        <v>0</v>
      </c>
      <c r="J615" s="199">
        <f ca="1">IFERROR(__xludf.DUMMYFUNCTION("IMPORTRANGE(""https://docs.google.com/spreadsheets/d/1SX6NBoVAgQJ6U1MVXOaj8PK2l7WJ3RER9xtqwdhxkhw/edit?usp=sharing"",""ระยอง!J510"")"),0)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IFERROR(__xludf.DUMMYFUNCTION("IMPORTRANGE(""https://docs.google.com/spreadsheets/d/1SX6NBoVAgQJ6U1MVXOaj8PK2l7WJ3RER9xtqwdhxkhw/edit?usp=sharing"",""ระยอง!I511"")"),0)</f>
        <v>0</v>
      </c>
      <c r="J616" s="199">
        <f ca="1">IFERROR(__xludf.DUMMYFUNCTION("IMPORTRANGE(""https://docs.google.com/spreadsheets/d/1SX6NBoVAgQJ6U1MVXOaj8PK2l7WJ3RER9xtqwdhxkhw/edit?usp=sharing"",""ระยอง!J511"")"),0)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IFERROR(__xludf.DUMMYFUNCTION("IMPORTRANGE(""https://docs.google.com/spreadsheets/d/1SX6NBoVAgQJ6U1MVXOaj8PK2l7WJ3RER9xtqwdhxkhw/edit?usp=sharing"",""ระยอง!I512"")"),0)</f>
        <v>0</v>
      </c>
      <c r="J617" s="189">
        <f ca="1">IFERROR(__xludf.DUMMYFUNCTION("IMPORTRANGE(""https://docs.google.com/spreadsheets/d/1SX6NBoVAgQJ6U1MVXOaj8PK2l7WJ3RER9xtqwdhxkhw/edit?usp=sharing"",""ระยอง!J512"")"),0)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IFERROR(__xludf.DUMMYFUNCTION("IMPORTRANGE(""https://docs.google.com/spreadsheets/d/1SX6NBoVAgQJ6U1MVXOaj8PK2l7WJ3RER9xtqwdhxkhw/edit?usp=sharing"",""ระยอง!I513"")"),0)</f>
        <v>0</v>
      </c>
      <c r="J618" s="190">
        <f ca="1">IFERROR(__xludf.DUMMYFUNCTION("IMPORTRANGE(""https://docs.google.com/spreadsheets/d/1SX6NBoVAgQJ6U1MVXOaj8PK2l7WJ3RER9xtqwdhxkhw/edit?usp=sharing"",""ระยอง!J513"")"),0)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IFERROR(__xludf.DUMMYFUNCTION("IMPORTRANGE(""https://docs.google.com/spreadsheets/d/1SX6NBoVAgQJ6U1MVXOaj8PK2l7WJ3RER9xtqwdhxkhw/edit?usp=sharing"",""ระยอง!I514"")"),0)</f>
        <v>0</v>
      </c>
      <c r="J619" s="190">
        <f ca="1">IFERROR(__xludf.DUMMYFUNCTION("IMPORTRANGE(""https://docs.google.com/spreadsheets/d/1SX6NBoVAgQJ6U1MVXOaj8PK2l7WJ3RER9xtqwdhxkhw/edit?usp=sharing"",""ระยอง!J514"")"),0)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IFERROR(__xludf.DUMMYFUNCTION("IMPORTRANGE(""https://docs.google.com/spreadsheets/d/1SX6NBoVAgQJ6U1MVXOaj8PK2l7WJ3RER9xtqwdhxkhw/edit?usp=sharing"",""ระยอง!I515"")"),0)</f>
        <v>0</v>
      </c>
      <c r="J620" s="204">
        <f ca="1">IFERROR(__xludf.DUMMYFUNCTION("IMPORTRANGE(""https://docs.google.com/spreadsheets/d/1SX6NBoVAgQJ6U1MVXOaj8PK2l7WJ3RER9xtqwdhxkhw/edit?usp=sharing"",""ระยอง!J515"")"),0)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IFERROR(__xludf.DUMMYFUNCTION("IMPORTRANGE(""https://docs.google.com/spreadsheets/d/1SX6NBoVAgQJ6U1MVXOaj8PK2l7WJ3RER9xtqwdhxkhw/edit?usp=sharing"",""ระยอง!I516"")"),0)</f>
        <v>0</v>
      </c>
      <c r="J621" s="204">
        <f ca="1">IFERROR(__xludf.DUMMYFUNCTION("IMPORTRANGE(""https://docs.google.com/spreadsheets/d/1SX6NBoVAgQJ6U1MVXOaj8PK2l7WJ3RER9xtqwdhxkhw/edit?usp=sharing"",""ระยอง!J516"")"),0)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IFERROR(__xludf.DUMMYFUNCTION("IMPORTRANGE(""https://docs.google.com/spreadsheets/d/1SX6NBoVAgQJ6U1MVXOaj8PK2l7WJ3RER9xtqwdhxkhw/edit?usp=sharing"",""ระยอง!I517"")"),0)</f>
        <v>0</v>
      </c>
      <c r="J622" s="190">
        <f ca="1">IFERROR(__xludf.DUMMYFUNCTION("IMPORTRANGE(""https://docs.google.com/spreadsheets/d/1SX6NBoVAgQJ6U1MVXOaj8PK2l7WJ3RER9xtqwdhxkhw/edit?usp=sharing"",""ระยอง!J517"")"),0)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IFERROR(__xludf.DUMMYFUNCTION("IMPORTRANGE(""https://docs.google.com/spreadsheets/d/1SX6NBoVAgQJ6U1MVXOaj8PK2l7WJ3RER9xtqwdhxkhw/edit?usp=sharing"",""ระยอง!I518"")"),0)</f>
        <v>0</v>
      </c>
      <c r="J623" s="190">
        <f ca="1">IFERROR(__xludf.DUMMYFUNCTION("IMPORTRANGE(""https://docs.google.com/spreadsheets/d/1SX6NBoVAgQJ6U1MVXOaj8PK2l7WJ3RER9xtqwdhxkhw/edit?usp=sharing"",""ระยอง!J518"")"),0)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IFERROR(__xludf.DUMMYFUNCTION("IMPORTRANGE(""https://docs.google.com/spreadsheets/d/1SX6NBoVAgQJ6U1MVXOaj8PK2l7WJ3RER9xtqwdhxkhw/edit?usp=sharing"",""ระยอง!I519"")"),0)</f>
        <v>0</v>
      </c>
      <c r="J624" s="189">
        <f ca="1">IFERROR(__xludf.DUMMYFUNCTION("IMPORTRANGE(""https://docs.google.com/spreadsheets/d/1SX6NBoVAgQJ6U1MVXOaj8PK2l7WJ3RER9xtqwdhxkhw/edit?usp=sharing"",""ระยอง!J519"")"),0)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IFERROR(__xludf.DUMMYFUNCTION("IMPORTRANGE(""https://docs.google.com/spreadsheets/d/1SX6NBoVAgQJ6U1MVXOaj8PK2l7WJ3RER9xtqwdhxkhw/edit?usp=sharing"",""ระยอง!I520"")"),0)</f>
        <v>0</v>
      </c>
      <c r="J625" s="190">
        <f ca="1">IFERROR(__xludf.DUMMYFUNCTION("IMPORTRANGE(""https://docs.google.com/spreadsheets/d/1SX6NBoVAgQJ6U1MVXOaj8PK2l7WJ3RER9xtqwdhxkhw/edit?usp=sharing"",""ระยอง!J520"")"),0)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IFERROR(__xludf.DUMMYFUNCTION("IMPORTRANGE(""https://docs.google.com/spreadsheets/d/1SX6NBoVAgQJ6U1MVXOaj8PK2l7WJ3RER9xtqwdhxkhw/edit?usp=sharing"",""ระยอง!I521"")"),0)</f>
        <v>0</v>
      </c>
      <c r="J626" s="190">
        <f ca="1">IFERROR(__xludf.DUMMYFUNCTION("IMPORTRANGE(""https://docs.google.com/spreadsheets/d/1SX6NBoVAgQJ6U1MVXOaj8PK2l7WJ3RER9xtqwdhxkhw/edit?usp=sharing"",""ระยอง!J521"")"),0)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IFERROR(__xludf.DUMMYFUNCTION("IMPORTRANGE(""https://docs.google.com/spreadsheets/d/1SX6NBoVAgQJ6U1MVXOaj8PK2l7WJ3RER9xtqwdhxkhw/edit?usp=sharing"",""ระยอง!I523"")"),2198052.65)</f>
        <v>2198052.65</v>
      </c>
      <c r="J628" s="341">
        <f ca="1">IFERROR(__xludf.DUMMYFUNCTION("IMPORTRANGE(""https://docs.google.com/spreadsheets/d/1SX6NBoVAgQJ6U1MVXOaj8PK2l7WJ3RER9xtqwdhxkhw/edit?usp=sharing"",""ระยอง!J523"")"),306519.63)</f>
        <v>306519.63</v>
      </c>
      <c r="K628" s="342">
        <f t="shared" ref="K628:K635" ca="1" si="129">IF(I628&gt;0,J628*100/I628,0)</f>
        <v>13.945054045907408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IFERROR(__xludf.DUMMYFUNCTION("IMPORTRANGE(""https://docs.google.com/spreadsheets/d/1SX6NBoVAgQJ6U1MVXOaj8PK2l7WJ3RER9xtqwdhxkhw/edit?usp=sharing"",""ระยอง!I524"")"),144)</f>
        <v>144</v>
      </c>
      <c r="J629" s="341">
        <f ca="1">IFERROR(__xludf.DUMMYFUNCTION("IMPORTRANGE(""https://docs.google.com/spreadsheets/d/1SX6NBoVAgQJ6U1MVXOaj8PK2l7WJ3RER9xtqwdhxkhw/edit?usp=sharing"",""ระยอง!J524"")"),20)</f>
        <v>20</v>
      </c>
      <c r="K629" s="342">
        <f t="shared" ca="1" si="129"/>
        <v>13.888888888888889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IFERROR(__xludf.DUMMYFUNCTION("IMPORTRANGE(""https://docs.google.com/spreadsheets/d/1SX6NBoVAgQJ6U1MVXOaj8PK2l7WJ3RER9xtqwdhxkhw/edit?usp=sharing"",""ระยอง!I525"")"),1625986.59)</f>
        <v>1625986.59</v>
      </c>
      <c r="J630" s="341">
        <f ca="1">IFERROR(__xludf.DUMMYFUNCTION("IMPORTRANGE(""https://docs.google.com/spreadsheets/d/1SX6NBoVAgQJ6U1MVXOaj8PK2l7WJ3RER9xtqwdhxkhw/edit?usp=sharing"",""ระยอง!J525"")"),176671.36)</f>
        <v>176671.35999999999</v>
      </c>
      <c r="K630" s="342">
        <f t="shared" ca="1" si="129"/>
        <v>10.865486904169362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IFERROR(__xludf.DUMMYFUNCTION("IMPORTRANGE(""https://docs.google.com/spreadsheets/d/1SX6NBoVAgQJ6U1MVXOaj8PK2l7WJ3RER9xtqwdhxkhw/edit?usp=sharing"",""ระยอง!I526"")"),52)</f>
        <v>52</v>
      </c>
      <c r="J631" s="341">
        <f ca="1">IFERROR(__xludf.DUMMYFUNCTION("IMPORTRANGE(""https://docs.google.com/spreadsheets/d/1SX6NBoVAgQJ6U1MVXOaj8PK2l7WJ3RER9xtqwdhxkhw/edit?usp=sharing"",""ระยอง!J526"")"),20)</f>
        <v>20</v>
      </c>
      <c r="K631" s="342">
        <f t="shared" ca="1" si="129"/>
        <v>38.46153846153846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IFERROR(__xludf.DUMMYFUNCTION("IMPORTRANGE(""https://docs.google.com/spreadsheets/d/1SX6NBoVAgQJ6U1MVXOaj8PK2l7WJ3RER9xtqwdhxkhw/edit?usp=sharing"",""ระยอง!I527"")"),0)</f>
        <v>0</v>
      </c>
      <c r="J632" s="341">
        <f ca="1">IFERROR(__xludf.DUMMYFUNCTION("IMPORTRANGE(""https://docs.google.com/spreadsheets/d/1SX6NBoVAgQJ6U1MVXOaj8PK2l7WJ3RER9xtqwdhxkhw/edit?usp=sharing"",""ระยอง!J527"")"),0)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IFERROR(__xludf.DUMMYFUNCTION("IMPORTRANGE(""https://docs.google.com/spreadsheets/d/1SX6NBoVAgQJ6U1MVXOaj8PK2l7WJ3RER9xtqwdhxkhw/edit?usp=sharing"",""ระยอง!I528"")"),0)</f>
        <v>0</v>
      </c>
      <c r="J633" s="341">
        <f ca="1">IFERROR(__xludf.DUMMYFUNCTION("IMPORTRANGE(""https://docs.google.com/spreadsheets/d/1SX6NBoVAgQJ6U1MVXOaj8PK2l7WJ3RER9xtqwdhxkhw/edit?usp=sharing"",""ระยอง!J528"")"),0)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IFERROR(__xludf.DUMMYFUNCTION("IMPORTRANGE(""https://docs.google.com/spreadsheets/d/1SX6NBoVAgQJ6U1MVXOaj8PK2l7WJ3RER9xtqwdhxkhw/edit?usp=sharing"",""ระยอง!I529"")"),1450000)</f>
        <v>1450000</v>
      </c>
      <c r="J634" s="341">
        <f ca="1">IFERROR(__xludf.DUMMYFUNCTION("IMPORTRANGE(""https://docs.google.com/spreadsheets/d/1SX6NBoVAgQJ6U1MVXOaj8PK2l7WJ3RER9xtqwdhxkhw/edit?usp=sharing"",""ระยอง!J529"")"),0)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IFERROR(__xludf.DUMMYFUNCTION("IMPORTRANGE(""https://docs.google.com/spreadsheets/d/1SX6NBoVAgQJ6U1MVXOaj8PK2l7WJ3RER9xtqwdhxkhw/edit?usp=sharing"",""ระยอง!I530"")"),29)</f>
        <v>29</v>
      </c>
      <c r="J635" s="504">
        <f ca="1">IFERROR(__xludf.DUMMYFUNCTION("IMPORTRANGE(""https://docs.google.com/spreadsheets/d/1SX6NBoVAgQJ6U1MVXOaj8PK2l7WJ3RER9xtqwdhxkhw/edit?usp=sharing"",""ระยอง!J530"")"),0)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J557" sqref="J557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266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3770337</v>
      </c>
      <c r="M8" s="23">
        <f t="shared" ca="1" si="0"/>
        <v>1321750</v>
      </c>
      <c r="N8" s="23">
        <f t="shared" ca="1" si="0"/>
        <v>1360341.27</v>
      </c>
      <c r="O8" s="22">
        <f t="shared" ref="O8:O16" ca="1" si="1">IF(L8&gt;0,N8*100/L8,0)</f>
        <v>36.080097614616413</v>
      </c>
      <c r="P8" s="22">
        <f t="shared" ref="P8:P16" ca="1" si="2">IF(M8&gt;0,N8*100/M8,0)</f>
        <v>102.91971023264611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3770337</v>
      </c>
      <c r="M10" s="30">
        <f t="shared" ca="1" si="4"/>
        <v>1321750</v>
      </c>
      <c r="N10" s="30">
        <f t="shared" ca="1" si="4"/>
        <v>1360341.27</v>
      </c>
      <c r="O10" s="29">
        <f t="shared" ca="1" si="1"/>
        <v>36.080097614616413</v>
      </c>
      <c r="P10" s="29">
        <f t="shared" ca="1" si="2"/>
        <v>102.91971023264611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3551037</v>
      </c>
      <c r="M12" s="38">
        <f t="shared" ca="1" si="6"/>
        <v>1102450</v>
      </c>
      <c r="N12" s="38">
        <f t="shared" ca="1" si="6"/>
        <v>1325841.27</v>
      </c>
      <c r="O12" s="38">
        <f t="shared" ca="1" si="1"/>
        <v>37.336734874911187</v>
      </c>
      <c r="P12" s="38">
        <f t="shared" ca="1" si="2"/>
        <v>120.26316567644791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2224237</v>
      </c>
      <c r="M14" s="38">
        <f t="shared" si="8"/>
        <v>0</v>
      </c>
      <c r="N14" s="38">
        <f t="shared" ca="1" si="8"/>
        <v>411940.26999999996</v>
      </c>
      <c r="O14" s="38">
        <f t="shared" ca="1" si="1"/>
        <v>18.520520520070473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34500</v>
      </c>
      <c r="O16" s="49">
        <f t="shared" ca="1" si="1"/>
        <v>15.73187414500684</v>
      </c>
      <c r="P16" s="49">
        <f t="shared" ca="1" si="2"/>
        <v>15.73187414500684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2170205</v>
      </c>
      <c r="M18" s="23">
        <f t="shared" ca="1" si="11"/>
        <v>1321750</v>
      </c>
      <c r="N18" s="23">
        <f t="shared" ca="1" si="11"/>
        <v>948401</v>
      </c>
      <c r="O18" s="22">
        <f t="shared" ref="O18:O20" ca="1" si="12">IF(L18&gt;0,N18*100/L18,0)</f>
        <v>43.700986773138943</v>
      </c>
      <c r="P18" s="22">
        <f t="shared" ref="P18:P26" ca="1" si="13">IF(M18&gt;0,N18*100/M18,0)</f>
        <v>71.753432948742201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2170205</v>
      </c>
      <c r="M20" s="30">
        <f t="shared" ca="1" si="15"/>
        <v>1321750</v>
      </c>
      <c r="N20" s="30">
        <f t="shared" ca="1" si="15"/>
        <v>948401</v>
      </c>
      <c r="O20" s="29">
        <f t="shared" ca="1" si="12"/>
        <v>43.700986773138943</v>
      </c>
      <c r="P20" s="29">
        <f t="shared" ca="1" si="13"/>
        <v>71.753432948742201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1950905</v>
      </c>
      <c r="M22" s="41">
        <f t="shared" ca="1" si="18"/>
        <v>1102450</v>
      </c>
      <c r="N22" s="38">
        <f t="shared" ca="1" si="18"/>
        <v>913901</v>
      </c>
      <c r="O22" s="38">
        <f t="shared" ca="1" si="17"/>
        <v>46.844977074742232</v>
      </c>
      <c r="P22" s="38">
        <f t="shared" ca="1" si="13"/>
        <v>82.897274252800585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624105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34500</v>
      </c>
      <c r="O26" s="49">
        <f t="shared" ca="1" si="17"/>
        <v>15.73187414500684</v>
      </c>
      <c r="P26" s="49">
        <f t="shared" ca="1" si="13"/>
        <v>15.73187414500684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1600132</v>
      </c>
      <c r="M28" s="23">
        <f t="shared" si="23"/>
        <v>0</v>
      </c>
      <c r="N28" s="23">
        <f t="shared" ca="1" si="23"/>
        <v>411940.26999999996</v>
      </c>
      <c r="O28" s="22">
        <f t="shared" ref="O28:O30" ca="1" si="24">IF(L28&gt;0,N28*100/L28,0)</f>
        <v>25.744142983203879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1600132</v>
      </c>
      <c r="M30" s="30">
        <f t="shared" si="27"/>
        <v>0</v>
      </c>
      <c r="N30" s="30">
        <f t="shared" ca="1" si="27"/>
        <v>411940.26999999996</v>
      </c>
      <c r="O30" s="29">
        <f t="shared" ca="1" si="24"/>
        <v>25.744142983203879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1600132</v>
      </c>
      <c r="M32" s="38">
        <f t="shared" si="30"/>
        <v>0</v>
      </c>
      <c r="N32" s="38">
        <f t="shared" ca="1" si="30"/>
        <v>411940.26999999996</v>
      </c>
      <c r="O32" s="38">
        <f t="shared" ca="1" si="29"/>
        <v>25.744142983203879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1600132</v>
      </c>
      <c r="M34" s="38">
        <f t="shared" si="32"/>
        <v>0</v>
      </c>
      <c r="N34" s="38">
        <f t="shared" ca="1" si="32"/>
        <v>411940.26999999996</v>
      </c>
      <c r="O34" s="38">
        <f t="shared" ca="1" si="29"/>
        <v>25.744142983203879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2170205</v>
      </c>
      <c r="M37" s="54">
        <f t="shared" ca="1" si="33"/>
        <v>1321750</v>
      </c>
      <c r="N37" s="54">
        <f t="shared" ca="1" si="33"/>
        <v>948401</v>
      </c>
      <c r="O37" s="55">
        <f t="shared" ca="1" si="29"/>
        <v>43.700986773138943</v>
      </c>
      <c r="P37" s="55">
        <f t="shared" ca="1" si="25"/>
        <v>71.753432948742201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198815</v>
      </c>
      <c r="N41" s="78">
        <f t="shared" ca="1" si="34"/>
        <v>180719</v>
      </c>
      <c r="O41" s="77">
        <f t="shared" ref="O41:O43" ca="1" si="35">IF(L41&gt;0,N41*100/L41,0)</f>
        <v>54.630894800483674</v>
      </c>
      <c r="P41" s="77">
        <f t="shared" ref="P41:P43" ca="1" si="36">IF(M41&gt;0,N41*100/M41,0)</f>
        <v>90.89807107109624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198815</v>
      </c>
      <c r="N43" s="78">
        <f t="shared" ca="1" si="38"/>
        <v>180719</v>
      </c>
      <c r="O43" s="77">
        <f t="shared" ca="1" si="35"/>
        <v>54.630894800483674</v>
      </c>
      <c r="P43" s="77">
        <f t="shared" ca="1" si="36"/>
        <v>90.89807107109624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IFERROR(__xludf.DUMMYFUNCTION("IMPORTRANGE(""https://docs.google.com/spreadsheets/d/1Yj_ptqi66GCucihVvJfMjLAmec39IyEx_6qawtMGysU/edit?usp=sharing"",""สบก!Q73"")"),198815)</f>
        <v>198815</v>
      </c>
      <c r="N45" s="49">
        <f ca="1">IFERROR(__xludf.DUMMYFUNCTION("IMPORTRANGE(""https://docs.google.com/spreadsheets/d/1Yj_ptqi66GCucihVvJfMjLAmec39IyEx_6qawtMGysU/edit?usp=sharing"",""สบก!R73"")"),180719)</f>
        <v>180719</v>
      </c>
      <c r="O45" s="38">
        <f ca="1">IF(L45&gt;0,N45*100/L45,0)</f>
        <v>54.630894800483674</v>
      </c>
      <c r="P45" s="38">
        <f ca="1">IF(M45&gt;0,N45*100/M45,0)</f>
        <v>90.89807107109624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159680</v>
      </c>
      <c r="N53" s="121">
        <f t="shared" ca="1" si="39"/>
        <v>158880</v>
      </c>
      <c r="O53" s="120">
        <f t="shared" ref="O53:O55" ca="1" si="40">IF(L53&gt;0,N53*100/L53,0)</f>
        <v>52.96</v>
      </c>
      <c r="P53" s="120">
        <f t="shared" ref="P53:P55" ca="1" si="41">IF(M53&gt;0,N53*100/M53,0)</f>
        <v>99.498997995991985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159680</v>
      </c>
      <c r="N55" s="121">
        <f t="shared" ca="1" si="43"/>
        <v>158880</v>
      </c>
      <c r="O55" s="120">
        <f t="shared" ca="1" si="40"/>
        <v>52.96</v>
      </c>
      <c r="P55" s="120">
        <f t="shared" ca="1" si="41"/>
        <v>99.498997995991985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IFERROR(__xludf.DUMMYFUNCTION("IMPORTRANGE(""https://docs.google.com/spreadsheets/d/1Yj_ptqi66GCucihVvJfMjLAmec39IyEx_6qawtMGysU/edit?usp=sharing"",""สบก!Z73"")"),159680)</f>
        <v>159680</v>
      </c>
      <c r="N57" s="49">
        <f ca="1">IFERROR(__xludf.DUMMYFUNCTION("IMPORTRANGE(""https://docs.google.com/spreadsheets/d/1Yj_ptqi66GCucihVvJfMjLAmec39IyEx_6qawtMGysU/edit?usp=sharing"",""สบก!AA73"")"),158880)</f>
        <v>158880</v>
      </c>
      <c r="O57" s="38">
        <f ca="1">IF(L57&gt;0,N57*100/L57,0)</f>
        <v>52.96</v>
      </c>
      <c r="P57" s="38">
        <f ca="1">IF(M57&gt;0,N57*100/M57,0)</f>
        <v>99.498997995991985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IFERROR(__xludf.DUMMYFUNCTION("IMPORTRANGE(""https://docs.google.com/spreadsheets/d/1Yj_ptqi66GCucihVvJfMjLAmec39IyEx_6qawtMGysU/edit?usp=sharing"",""สบก!AI73"")"),0)</f>
        <v>0</v>
      </c>
      <c r="N70" s="170">
        <f ca="1">IFERROR(__xludf.DUMMYFUNCTION("IMPORTRANGE(""https://docs.google.com/spreadsheets/d/1Yj_ptqi66GCucihVvJfMjLAmec39IyEx_6qawtMGysU/edit?usp=sharing"",""สบก!AJ73"")"),0)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IFERROR(__xludf.DUMMYFUNCTION("IMPORTRANGE(""https://docs.google.com/spreadsheets/d/1Yj_ptqi66GCucihVvJfMjLAmec39IyEx_6qawtMGysU/edit?usp=sharing"",""สบก!AE73"")"),0)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IFERROR(__xludf.DUMMYFUNCTION("IMPORTRANGE(""https://docs.google.com/spreadsheets/d/1Yj_ptqi66GCucihVvJfMjLAmec39IyEx_6qawtMGysU/edit?usp=sharing"",""สบก!AF73"")"),0)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IFERROR(__xludf.DUMMYFUNCTION("IMPORTRANGE(""https://docs.google.com/spreadsheets/d/1SX6NBoVAgQJ6U1MVXOaj8PK2l7WJ3RER9xtqwdhxkhw/edit?usp=sharing"",""ราชบุรี!J16"")"),0)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IFERROR(__xludf.DUMMYFUNCTION("IMPORTRANGE(""https://docs.google.com/spreadsheets/d/1SX6NBoVAgQJ6U1MVXOaj8PK2l7WJ3RER9xtqwdhxkhw/edit?usp=sharing"",""ราชบุรี!J17"")"),0)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IFERROR(__xludf.DUMMYFUNCTION("IMPORTRANGE(""https://docs.google.com/spreadsheets/d/1SX6NBoVAgQJ6U1MVXOaj8PK2l7WJ3RER9xtqwdhxkhw/edit?usp=sharing"",""ราชบุรี!J18"")"),0)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IFERROR(__xludf.DUMMYFUNCTION("IMPORTRANGE(""https://docs.google.com/spreadsheets/d/1SX6NBoVAgQJ6U1MVXOaj8PK2l7WJ3RER9xtqwdhxkhw/edit?usp=sharing"",""ราชบุรี!J19"")"),0)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IFERROR(__xludf.DUMMYFUNCTION("IMPORTRANGE(""https://docs.google.com/spreadsheets/d/1SX6NBoVAgQJ6U1MVXOaj8PK2l7WJ3RER9xtqwdhxkhw/edit?usp=sharing"",""ราชบุรี!I20"")"),0)</f>
        <v>0</v>
      </c>
      <c r="J80" s="202">
        <f ca="1">IFERROR(__xludf.DUMMYFUNCTION("IMPORTRANGE(""https://docs.google.com/spreadsheets/d/1SX6NBoVAgQJ6U1MVXOaj8PK2l7WJ3RER9xtqwdhxkhw/edit?usp=sharing"",""ราชบุรี!J20"")"),0)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IFERROR(__xludf.DUMMYFUNCTION("IMPORTRANGE(""https://docs.google.com/spreadsheets/d/1SX6NBoVAgQJ6U1MVXOaj8PK2l7WJ3RER9xtqwdhxkhw/edit?usp=sharing"",""ราชบุรี!I21"")"),0)</f>
        <v>0</v>
      </c>
      <c r="J81" s="202">
        <f ca="1">IFERROR(__xludf.DUMMYFUNCTION("IMPORTRANGE(""https://docs.google.com/spreadsheets/d/1SX6NBoVAgQJ6U1MVXOaj8PK2l7WJ3RER9xtqwdhxkhw/edit?usp=sharing"",""ราชบุรี!J21"")"),0)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IFERROR(__xludf.DUMMYFUNCTION("IMPORTRANGE(""https://docs.google.com/spreadsheets/d/1SX6NBoVAgQJ6U1MVXOaj8PK2l7WJ3RER9xtqwdhxkhw/edit?usp=sharing"",""ราชบุรี!I22"")"),0)</f>
        <v>0</v>
      </c>
      <c r="J82" s="205">
        <f ca="1">IFERROR(__xludf.DUMMYFUNCTION("IMPORTRANGE(""https://docs.google.com/spreadsheets/d/1SX6NBoVAgQJ6U1MVXOaj8PK2l7WJ3RER9xtqwdhxkhw/edit?usp=sharing"",""ราชบุรี!J22"")"),0)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IFERROR(__xludf.DUMMYFUNCTION("IMPORTRANGE(""https://docs.google.com/spreadsheets/d/1SX6NBoVAgQJ6U1MVXOaj8PK2l7WJ3RER9xtqwdhxkhw/edit?usp=sharing"",""ราชบุรี!I23"")"),0)</f>
        <v>0</v>
      </c>
      <c r="J83" s="205">
        <f ca="1">IFERROR(__xludf.DUMMYFUNCTION("IMPORTRANGE(""https://docs.google.com/spreadsheets/d/1SX6NBoVAgQJ6U1MVXOaj8PK2l7WJ3RER9xtqwdhxkhw/edit?usp=sharing"",""ราชบุรี!J23"")"),0)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IFERROR(__xludf.DUMMYFUNCTION("IMPORTRANGE(""https://docs.google.com/spreadsheets/d/1SX6NBoVAgQJ6U1MVXOaj8PK2l7WJ3RER9xtqwdhxkhw/edit?usp=sharing"",""ราชบุรี!I24"")"),0)</f>
        <v>0</v>
      </c>
      <c r="J84" s="190">
        <f ca="1">IFERROR(__xludf.DUMMYFUNCTION("IMPORTRANGE(""https://docs.google.com/spreadsheets/d/1SX6NBoVAgQJ6U1MVXOaj8PK2l7WJ3RER9xtqwdhxkhw/edit?usp=sharing"",""ราชบุรี!J24"")"),0)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IFERROR(__xludf.DUMMYFUNCTION("IMPORTRANGE(""https://docs.google.com/spreadsheets/d/1SX6NBoVAgQJ6U1MVXOaj8PK2l7WJ3RER9xtqwdhxkhw/edit?usp=sharing"",""ราชบุรี!I25"")"),0)</f>
        <v>0</v>
      </c>
      <c r="J85" s="190">
        <f ca="1">IFERROR(__xludf.DUMMYFUNCTION("IMPORTRANGE(""https://docs.google.com/spreadsheets/d/1SX6NBoVAgQJ6U1MVXOaj8PK2l7WJ3RER9xtqwdhxkhw/edit?usp=sharing"",""ราชบุรี!J25"")"),0)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IFERROR(__xludf.DUMMYFUNCTION("IMPORTRANGE(""https://docs.google.com/spreadsheets/d/1SX6NBoVAgQJ6U1MVXOaj8PK2l7WJ3RER9xtqwdhxkhw/edit?usp=sharing"",""ราชบุรี!I26"")"),0)</f>
        <v>0</v>
      </c>
      <c r="J86" s="205">
        <f ca="1">IFERROR(__xludf.DUMMYFUNCTION("IMPORTRANGE(""https://docs.google.com/spreadsheets/d/1SX6NBoVAgQJ6U1MVXOaj8PK2l7WJ3RER9xtqwdhxkhw/edit?usp=sharing"",""ราชบุรี!J26"")"),0)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IFERROR(__xludf.DUMMYFUNCTION("IMPORTRANGE(""https://docs.google.com/spreadsheets/d/1SX6NBoVAgQJ6U1MVXOaj8PK2l7WJ3RER9xtqwdhxkhw/edit?usp=sharing"",""ราชบุรี!I27"")"),0)</f>
        <v>0</v>
      </c>
      <c r="J87" s="205">
        <f ca="1">IFERROR(__xludf.DUMMYFUNCTION("IMPORTRANGE(""https://docs.google.com/spreadsheets/d/1SX6NBoVAgQJ6U1MVXOaj8PK2l7WJ3RER9xtqwdhxkhw/edit?usp=sharing"",""ราชบุรี!J27"")"),0)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IFERROR(__xludf.DUMMYFUNCTION("IMPORTRANGE(""https://docs.google.com/spreadsheets/d/1SX6NBoVAgQJ6U1MVXOaj8PK2l7WJ3RER9xtqwdhxkhw/edit?usp=sharing"",""ราชบุรี!I28"")"),0)</f>
        <v>0</v>
      </c>
      <c r="J88" s="205">
        <f ca="1">IFERROR(__xludf.DUMMYFUNCTION("IMPORTRANGE(""https://docs.google.com/spreadsheets/d/1SX6NBoVAgQJ6U1MVXOaj8PK2l7WJ3RER9xtqwdhxkhw/edit?usp=sharing"",""ราชบุรี!J28"")"),0)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IFERROR(__xludf.DUMMYFUNCTION("IMPORTRANGE(""https://docs.google.com/spreadsheets/d/1SX6NBoVAgQJ6U1MVXOaj8PK2l7WJ3RER9xtqwdhxkhw/edit?usp=sharing"",""ราชบุรี!J29"")"),0)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316780</v>
      </c>
      <c r="M94" s="152">
        <f t="shared" ca="1" si="52"/>
        <v>262570</v>
      </c>
      <c r="N94" s="152">
        <f t="shared" ca="1" si="52"/>
        <v>42126</v>
      </c>
      <c r="O94" s="151">
        <f t="shared" ref="O94:O96" ca="1" si="53">IF(L94&gt;0,N94*100/L94,0)</f>
        <v>13.29818801692026</v>
      </c>
      <c r="P94" s="151">
        <f t="shared" ref="P94:P96" ca="1" si="54">IF(M94&gt;0,N94*100/M94,0)</f>
        <v>16.043721674220208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316780</v>
      </c>
      <c r="M96" s="157">
        <f t="shared" ca="1" si="56"/>
        <v>262570</v>
      </c>
      <c r="N96" s="157">
        <f t="shared" ca="1" si="56"/>
        <v>42126</v>
      </c>
      <c r="O96" s="156">
        <f t="shared" ca="1" si="53"/>
        <v>13.29818801692026</v>
      </c>
      <c r="P96" s="156">
        <f t="shared" ca="1" si="54"/>
        <v>16.043721674220208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131980</v>
      </c>
      <c r="M98" s="169">
        <f ca="1">IFERROR(__xludf.DUMMYFUNCTION("IMPORTRANGE(""https://docs.google.com/spreadsheets/d/1Yj_ptqi66GCucihVvJfMjLAmec39IyEx_6qawtMGysU/edit?usp=sharing"",""สบก!AR73"")"),77770)</f>
        <v>77770</v>
      </c>
      <c r="N98" s="170">
        <f ca="1">IFERROR(__xludf.DUMMYFUNCTION("IMPORTRANGE(""https://docs.google.com/spreadsheets/d/1Yj_ptqi66GCucihVvJfMjLAmec39IyEx_6qawtMGysU/edit?usp=sharing"",""สบก!AS73"")"),42126)</f>
        <v>42126</v>
      </c>
      <c r="O98" s="170">
        <f ca="1">IF(L98&gt;0,N98*100/L98,0)</f>
        <v>31.918472495832702</v>
      </c>
      <c r="P98" s="170">
        <f ca="1">IF(M98&gt;0,N98*100/M98,0)</f>
        <v>54.167416741674167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IFERROR(__xludf.DUMMYFUNCTION("IMPORTRANGE(""https://docs.google.com/spreadsheets/d/1Yj_ptqi66GCucihVvJfMjLAmec39IyEx_6qawtMGysU/edit?usp=sharing"",""สบก!AN73"")"),0)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IFERROR(__xludf.DUMMYFUNCTION("IMPORTRANGE(""https://docs.google.com/spreadsheets/d/1Yj_ptqi66GCucihVvJfMjLAmec39IyEx_6qawtMGysU/edit?usp=sharing"",""สบก!AO73"")"),131980)</f>
        <v>131980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IFERROR(__xludf.DUMMYFUNCTION("IMPORTRANGE(""https://docs.google.com/spreadsheets/d/1Yj_ptqi66GCucihVvJfMjLAmec39IyEx_6qawtMGysU/edit?usp=sharing"",""สบก!AT73"")"),0)</f>
        <v>0</v>
      </c>
      <c r="O102" s="49">
        <f ca="1">IF(L102&gt;0,N102*100/L102,0)</f>
        <v>0</v>
      </c>
      <c r="P102" s="49">
        <f ca="1">IF(M102&gt;0,N102*100/M102,0)</f>
        <v>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IFERROR(__xludf.DUMMYFUNCTION("IMPORTRANGE(""https://docs.google.com/spreadsheets/d/1SX6NBoVAgQJ6U1MVXOaj8PK2l7WJ3RER9xtqwdhxkhw/edit?usp=sharing"",""ราชบุรี!J40"")"),1)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IFERROR(__xludf.DUMMYFUNCTION("IMPORTRANGE(""https://docs.google.com/spreadsheets/d/1SX6NBoVAgQJ6U1MVXOaj8PK2l7WJ3RER9xtqwdhxkhw/edit?usp=sharing"",""ราชบุรี!J41"")"),1)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IFERROR(__xludf.DUMMYFUNCTION("IMPORTRANGE(""https://docs.google.com/spreadsheets/d/1SX6NBoVAgQJ6U1MVXOaj8PK2l7WJ3RER9xtqwdhxkhw/edit?usp=sharing"",""ราชบุรี!J42"")"),1)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IFERROR(__xludf.DUMMYFUNCTION("IMPORTRANGE(""https://docs.google.com/spreadsheets/d/1SX6NBoVAgQJ6U1MVXOaj8PK2l7WJ3RER9xtqwdhxkhw/edit?usp=sharing"",""ราชบุรี!I43"")"),1)</f>
        <v>1</v>
      </c>
      <c r="J108" s="205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IFERROR(__xludf.DUMMYFUNCTION("IMPORTRANGE(""https://docs.google.com/spreadsheets/d/1SX6NBoVAgQJ6U1MVXOaj8PK2l7WJ3RER9xtqwdhxkhw/edit?usp=sharing"",""ราชบุรี!I44"")"),6)</f>
        <v>6</v>
      </c>
      <c r="J109" s="205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IFERROR(__xludf.DUMMYFUNCTION("IMPORTRANGE(""https://docs.google.com/spreadsheets/d/1SX6NBoVAgQJ6U1MVXOaj8PK2l7WJ3RER9xtqwdhxkhw/edit?usp=sharing"",""ราชบุรี!I45"")"),6)</f>
        <v>6</v>
      </c>
      <c r="J110" s="205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IFERROR(__xludf.DUMMYFUNCTION("IMPORTRANGE(""https://docs.google.com/spreadsheets/d/1SX6NBoVAgQJ6U1MVXOaj8PK2l7WJ3RER9xtqwdhxkhw/edit?usp=sharing"",""ราชบุรี!I46"")"),6)</f>
        <v>6</v>
      </c>
      <c r="J111" s="205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IFERROR(__xludf.DUMMYFUNCTION("IMPORTRANGE(""https://docs.google.com/spreadsheets/d/1SX6NBoVAgQJ6U1MVXOaj8PK2l7WJ3RER9xtqwdhxkhw/edit?usp=sharing"",""ราชบุรี!I47"")"),6)</f>
        <v>6</v>
      </c>
      <c r="J112" s="205">
        <f ca="1">IFERROR(__xludf.DUMMYFUNCTION("IMPORTRANGE(""https://docs.google.com/spreadsheets/d/1SX6NBoVAgQJ6U1MVXOaj8PK2l7WJ3RER9xtqwdhxkhw/edit?usp=sharing"",""ราชบุรี!J47"")"),0)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IFERROR(__xludf.DUMMYFUNCTION("IMPORTRANGE(""https://docs.google.com/spreadsheets/d/1SX6NBoVAgQJ6U1MVXOaj8PK2l7WJ3RER9xtqwdhxkhw/edit?usp=sharing"",""ราชบุรี!I48"")"),2)</f>
        <v>2</v>
      </c>
      <c r="J113" s="205">
        <f ca="1">IFERROR(__xludf.DUMMYFUNCTION("IMPORTRANGE(""https://docs.google.com/spreadsheets/d/1SX6NBoVAgQJ6U1MVXOaj8PK2l7WJ3RER9xtqwdhxkhw/edit?usp=sharing"",""ราชบุรี!J48"")"),0)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IFERROR(__xludf.DUMMYFUNCTION("IMPORTRANGE(""https://docs.google.com/spreadsheets/d/1SX6NBoVAgQJ6U1MVXOaj8PK2l7WJ3RER9xtqwdhxkhw/edit?usp=sharing"",""ราชบุรี!J49"")"),0)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IFERROR(__xludf.DUMMYFUNCTION("IMPORTRANGE(""https://docs.google.com/spreadsheets/d/1SX6NBoVAgQJ6U1MVXOaj8PK2l7WJ3RER9xtqwdhxkhw/edit?usp=sharing"",""ราชบุรี!J50"")"),0)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IFERROR(__xludf.DUMMYFUNCTION("IMPORTRANGE(""https://docs.google.com/spreadsheets/d/1Yj_ptqi66GCucihVvJfMjLAmec39IyEx_6qawtMGysU/edit?usp=sharing"",""สบก!BA73"")"),0)</f>
        <v>0</v>
      </c>
      <c r="N122" s="170">
        <f ca="1">IFERROR(__xludf.DUMMYFUNCTION("IMPORTRANGE(""https://docs.google.com/spreadsheets/d/1Yj_ptqi66GCucihVvJfMjLAmec39IyEx_6qawtMGysU/edit?usp=sharing"",""สบก!BB73"")"),0)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IFERROR(__xludf.DUMMYFUNCTION("IMPORTRANGE(""https://docs.google.com/spreadsheets/d/1Yj_ptqi66GCucihVvJfMjLAmec39IyEx_6qawtMGysU/edit?usp=sharing"",""สบก!AW73"")"),0)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IFERROR(__xludf.DUMMYFUNCTION("IMPORTRANGE(""https://docs.google.com/spreadsheets/d/1Yj_ptqi66GCucihVvJfMjLAmec39IyEx_6qawtMGysU/edit?usp=sharing"",""สบก!AX73"")"),0)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267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IFERROR(__xludf.DUMMYFUNCTION("IMPORTRANGE(""https://docs.google.com/spreadsheets/d/1SX6NBoVAgQJ6U1MVXOaj8PK2l7WJ3RER9xtqwdhxkhw/edit?usp=sharing"",""ราชบุรี!I62"")"),0)</f>
        <v>0</v>
      </c>
      <c r="J132" s="205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IFERROR(__xludf.DUMMYFUNCTION("IMPORTRANGE(""https://docs.google.com/spreadsheets/d/1SX6NBoVAgQJ6U1MVXOaj8PK2l7WJ3RER9xtqwdhxkhw/edit?usp=sharing"",""ราชบุรี!I63"")"),0)</f>
        <v>0</v>
      </c>
      <c r="J133" s="205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58500</v>
      </c>
      <c r="M140" s="152">
        <f t="shared" ca="1" si="64"/>
        <v>53750</v>
      </c>
      <c r="N140" s="152">
        <f t="shared" ca="1" si="64"/>
        <v>1616</v>
      </c>
      <c r="O140" s="151">
        <f t="shared" ref="O140:O142" ca="1" si="65">IF(L140&gt;0,N140*100/L140,0)</f>
        <v>2.7623931623931623</v>
      </c>
      <c r="P140" s="151">
        <f t="shared" ref="P140:P142" ca="1" si="66">IF(M140&gt;0,N140*100/M140,0)</f>
        <v>3.0065116279069768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58500</v>
      </c>
      <c r="M142" s="157">
        <f t="shared" ca="1" si="68"/>
        <v>53750</v>
      </c>
      <c r="N142" s="157">
        <f t="shared" ca="1" si="68"/>
        <v>1616</v>
      </c>
      <c r="O142" s="156">
        <f t="shared" ca="1" si="65"/>
        <v>2.7623931623931623</v>
      </c>
      <c r="P142" s="156">
        <f t="shared" ca="1" si="66"/>
        <v>3.0065116279069768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58500</v>
      </c>
      <c r="M144" s="169">
        <f ca="1">IFERROR(__xludf.DUMMYFUNCTION("IMPORTRANGE(""https://docs.google.com/spreadsheets/d/1Yj_ptqi66GCucihVvJfMjLAmec39IyEx_6qawtMGysU/edit?usp=sharing"",""สบก!BJ73"")"),53750)</f>
        <v>53750</v>
      </c>
      <c r="N144" s="170">
        <f ca="1">IFERROR(__xludf.DUMMYFUNCTION("IMPORTRANGE(""https://docs.google.com/spreadsheets/d/1Yj_ptqi66GCucihVvJfMjLAmec39IyEx_6qawtMGysU/edit?usp=sharing"",""สบก!BK73"")"),1616)</f>
        <v>1616</v>
      </c>
      <c r="O144" s="170">
        <f ca="1">IF(L144&gt;0,N144*100/L144,0)</f>
        <v>2.7623931623931623</v>
      </c>
      <c r="P144" s="170">
        <f ca="1">IF(M144&gt;0,N144*100/M144,0)</f>
        <v>3.0065116279069768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IFERROR(__xludf.DUMMYFUNCTION("IMPORTRANGE(""https://docs.google.com/spreadsheets/d/1Yj_ptqi66GCucihVvJfMjLAmec39IyEx_6qawtMGysU/edit?usp=sharing"",""สบก!BF73"")"),0)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IFERROR(__xludf.DUMMYFUNCTION("IMPORTRANGE(""https://docs.google.com/spreadsheets/d/1Yj_ptqi66GCucihVvJfMjLAmec39IyEx_6qawtMGysU/edit?usp=sharing"",""สบก!BG73"")"),58500)</f>
        <v>58500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IFERROR(__xludf.DUMMYFUNCTION("IMPORTRANGE(""https://docs.google.com/spreadsheets/d/1SX6NBoVAgQJ6U1MVXOaj8PK2l7WJ3RER9xtqwdhxkhw/edit?usp=sharing"",""ราชบุรี!J79"")"),0)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IFERROR(__xludf.DUMMYFUNCTION("IMPORTRANGE(""https://docs.google.com/spreadsheets/d/1SX6NBoVAgQJ6U1MVXOaj8PK2l7WJ3RER9xtqwdhxkhw/edit?usp=sharing"",""ราชบุรี!J80"")"),1)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IFERROR(__xludf.DUMMYFUNCTION("IMPORTRANGE(""https://docs.google.com/spreadsheets/d/1SX6NBoVAgQJ6U1MVXOaj8PK2l7WJ3RER9xtqwdhxkhw/edit?usp=sharing"",""ราชบุรี!J81"")"),0)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IFERROR(__xludf.DUMMYFUNCTION("IMPORTRANGE(""https://docs.google.com/spreadsheets/d/1SX6NBoVAgQJ6U1MVXOaj8PK2l7WJ3RER9xtqwdhxkhw/edit?usp=sharing"",""ราชบุรี!J82"")"),1)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IFERROR(__xludf.DUMMYFUNCTION("IMPORTRANGE(""https://docs.google.com/spreadsheets/d/1SX6NBoVAgQJ6U1MVXOaj8PK2l7WJ3RER9xtqwdhxkhw/edit?usp=sharing"",""ราชบุรี!I83"")"),4)</f>
        <v>4</v>
      </c>
      <c r="J158" s="190">
        <f ca="1">IFERROR(__xludf.DUMMYFUNCTION("IMPORTRANGE(""https://docs.google.com/spreadsheets/d/1SX6NBoVAgQJ6U1MVXOaj8PK2l7WJ3RER9xtqwdhxkhw/edit?usp=sharing"",""ราชบุรี!J83"")"),2)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IFERROR(__xludf.DUMMYFUNCTION("IMPORTRANGE(""https://docs.google.com/spreadsheets/d/1SX6NBoVAgQJ6U1MVXOaj8PK2l7WJ3RER9xtqwdhxkhw/edit?usp=sharing"",""ราชบุรี!J84"")"),110)</f>
        <v>110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IFERROR(__xludf.DUMMYFUNCTION("IMPORTRANGE(""https://docs.google.com/spreadsheets/d/1SX6NBoVAgQJ6U1MVXOaj8PK2l7WJ3RER9xtqwdhxkhw/edit?usp=sharing"",""ราชบุรี!J85"")"),110)</f>
        <v>110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IFERROR(__xludf.DUMMYFUNCTION("IMPORTRANGE(""https://docs.google.com/spreadsheets/d/1SX6NBoVAgQJ6U1MVXOaj8PK2l7WJ3RER9xtqwdhxkhw/edit?usp=sharing"",""ราชบุรี!J86"")"),0)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IFERROR(__xludf.DUMMYFUNCTION("IMPORTRANGE(""https://docs.google.com/spreadsheets/d/1SX6NBoVAgQJ6U1MVXOaj8PK2l7WJ3RER9xtqwdhxkhw/edit?usp=sharing"",""ราชบุรี!J87"")"),0)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IFERROR(__xludf.DUMMYFUNCTION("IMPORTRANGE(""https://docs.google.com/spreadsheets/d/1SX6NBoVAgQJ6U1MVXOaj8PK2l7WJ3RER9xtqwdhxkhw/edit?usp=sharing"",""ราชบุรี!J88"")"),0)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IFERROR(__xludf.DUMMYFUNCTION("IMPORTRANGE(""https://docs.google.com/spreadsheets/d/1SX6NBoVAgQJ6U1MVXOaj8PK2l7WJ3RER9xtqwdhxkhw/edit?usp=sharing"",""ราชบุรี!I89"")"),3)</f>
        <v>3</v>
      </c>
      <c r="J164" s="284">
        <f ca="1">IFERROR(__xludf.DUMMYFUNCTION("IMPORTRANGE(""https://docs.google.com/spreadsheets/d/1SX6NBoVAgQJ6U1MVXOaj8PK2l7WJ3RER9xtqwdhxkhw/edit?usp=sharing"",""ราชบุรี!J89"")"),0)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IFERROR(__xludf.DUMMYFUNCTION("IMPORTRANGE(""https://docs.google.com/spreadsheets/d/1SX6NBoVAgQJ6U1MVXOaj8PK2l7WJ3RER9xtqwdhxkhw/edit?usp=sharing"",""ราชบุรี!J94"")"),0)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IFERROR(__xludf.DUMMYFUNCTION("IMPORTRANGE(""https://docs.google.com/spreadsheets/d/1SX6NBoVAgQJ6U1MVXOaj8PK2l7WJ3RER9xtqwdhxkhw/edit?usp=sharing"",""ราชบุรี!J95"")"),0)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IFERROR(__xludf.DUMMYFUNCTION("IMPORTRANGE(""https://docs.google.com/spreadsheets/d/1SX6NBoVAgQJ6U1MVXOaj8PK2l7WJ3RER9xtqwdhxkhw/edit?usp=sharing"",""ราชบุรี!J96"")"),0)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IFERROR(__xludf.DUMMYFUNCTION("IMPORTRANGE(""https://docs.google.com/spreadsheets/d/1SX6NBoVAgQJ6U1MVXOaj8PK2l7WJ3RER9xtqwdhxkhw/edit?usp=sharing"",""ราชบุรี!J97"")"),0)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IFERROR(__xludf.DUMMYFUNCTION("IMPORTRANGE(""https://docs.google.com/spreadsheets/d/1SX6NBoVAgQJ6U1MVXOaj8PK2l7WJ3RER9xtqwdhxkhw/edit?usp=sharing"",""ราชบุรี!I98"")"),3)</f>
        <v>3</v>
      </c>
      <c r="J173" s="190">
        <f ca="1">IFERROR(__xludf.DUMMYFUNCTION("IMPORTRANGE(""https://docs.google.com/spreadsheets/d/1SX6NBoVAgQJ6U1MVXOaj8PK2l7WJ3RER9xtqwdhxkhw/edit?usp=sharing"",""ราชบุรี!J98"")"),0)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IFERROR(__xludf.DUMMYFUNCTION("IMPORTRANGE(""https://docs.google.com/spreadsheets/d/1SX6NBoVAgQJ6U1MVXOaj8PK2l7WJ3RER9xtqwdhxkhw/edit?usp=sharing"",""ราชบุรี!J99"")"),0)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IFERROR(__xludf.DUMMYFUNCTION("IMPORTRANGE(""https://docs.google.com/spreadsheets/d/1SX6NBoVAgQJ6U1MVXOaj8PK2l7WJ3RER9xtqwdhxkhw/edit?usp=sharing"",""ราชบุรี!J100"")"),0)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IFERROR(__xludf.DUMMYFUNCTION("IMPORTRANGE(""https://docs.google.com/spreadsheets/d/1SX6NBoVAgQJ6U1MVXOaj8PK2l7WJ3RER9xtqwdhxkhw/edit?usp=sharing"",""ราชบุรี!I101"")"),0)</f>
        <v>0</v>
      </c>
      <c r="J176" s="284">
        <f ca="1">IFERROR(__xludf.DUMMYFUNCTION("IMPORTRANGE(""https://docs.google.com/spreadsheets/d/1SX6NBoVAgQJ6U1MVXOaj8PK2l7WJ3RER9xtqwdhxkhw/edit?usp=sharing"",""ราชบุรี!J101"")"),0)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IFERROR(__xludf.DUMMYFUNCTION("IMPORTRANGE(""https://docs.google.com/spreadsheets/d/1SX6NBoVAgQJ6U1MVXOaj8PK2l7WJ3RER9xtqwdhxkhw/edit?usp=sharing"",""ราชบุรี!I110"")"),0)</f>
        <v>0</v>
      </c>
      <c r="J185" s="205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IFERROR(__xludf.DUMMYFUNCTION("IMPORTRANGE(""https://docs.google.com/spreadsheets/d/1SX6NBoVAgQJ6U1MVXOaj8PK2l7WJ3RER9xtqwdhxkhw/edit?usp=sharing"",""ราชบุรี!I111"")"),0)</f>
        <v>0</v>
      </c>
      <c r="J186" s="205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IFERROR(__xludf.DUMMYFUNCTION("IMPORTRANGE(""https://docs.google.com/spreadsheets/d/1SX6NBoVAgQJ6U1MVXOaj8PK2l7WJ3RER9xtqwdhxkhw/edit?usp=sharing"",""ราชบุรี!I114"")"),20000)</f>
        <v>20000</v>
      </c>
      <c r="J189" s="284">
        <f ca="1">IFERROR(__xludf.DUMMYFUNCTION("IMPORTRANGE(""https://docs.google.com/spreadsheets/d/1SX6NBoVAgQJ6U1MVXOaj8PK2l7WJ3RER9xtqwdhxkhw/edit?usp=sharing"",""ราชบุรี!J114"")"),0)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IFERROR(__xludf.DUMMYFUNCTION("IMPORTRANGE(""https://docs.google.com/spreadsheets/d/1SX6NBoVAgQJ6U1MVXOaj8PK2l7WJ3RER9xtqwdhxkhw/edit?usp=sharing"",""ราชบุรี!J119"")"),0)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IFERROR(__xludf.DUMMYFUNCTION("IMPORTRANGE(""https://docs.google.com/spreadsheets/d/1SX6NBoVAgQJ6U1MVXOaj8PK2l7WJ3RER9xtqwdhxkhw/edit?usp=sharing"",""ราชบุรี!J120"")"),1)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IFERROR(__xludf.DUMMYFUNCTION("IMPORTRANGE(""https://docs.google.com/spreadsheets/d/1SX6NBoVAgQJ6U1MVXOaj8PK2l7WJ3RER9xtqwdhxkhw/edit?usp=sharing"",""ราชบุรี!J121"")"),0)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IFERROR(__xludf.DUMMYFUNCTION("IMPORTRANGE(""https://docs.google.com/spreadsheets/d/1SX6NBoVAgQJ6U1MVXOaj8PK2l7WJ3RER9xtqwdhxkhw/edit?usp=sharing"",""ราชบุรี!J122"")"),0)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IFERROR(__xludf.DUMMYFUNCTION("IMPORTRANGE(""https://docs.google.com/spreadsheets/d/1SX6NBoVAgQJ6U1MVXOaj8PK2l7WJ3RER9xtqwdhxkhw/edit?usp=sharing"",""ราชบุรี!I124"")"),20000)</f>
        <v>20000</v>
      </c>
      <c r="J199" s="190">
        <f ca="1">IFERROR(__xludf.DUMMYFUNCTION("IMPORTRANGE(""https://docs.google.com/spreadsheets/d/1SX6NBoVAgQJ6U1MVXOaj8PK2l7WJ3RER9xtqwdhxkhw/edit?usp=sharing"",""ราชบุรี!J124"")"),0)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IFERROR(__xludf.DUMMYFUNCTION("IMPORTRANGE(""https://docs.google.com/spreadsheets/d/1SX6NBoVAgQJ6U1MVXOaj8PK2l7WJ3RER9xtqwdhxkhw/edit?usp=sharing"",""ราชบุรี!I125"")"),20000)</f>
        <v>20000</v>
      </c>
      <c r="J200" s="190">
        <f ca="1">IFERROR(__xludf.DUMMYFUNCTION("IMPORTRANGE(""https://docs.google.com/spreadsheets/d/1SX6NBoVAgQJ6U1MVXOaj8PK2l7WJ3RER9xtqwdhxkhw/edit?usp=sharing"",""ราชบุรี!J125"")"),0)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IFERROR(__xludf.DUMMYFUNCTION("IMPORTRANGE(""https://docs.google.com/spreadsheets/d/1SX6NBoVAgQJ6U1MVXOaj8PK2l7WJ3RER9xtqwdhxkhw/edit?usp=sharing"",""ราชบุรี!I126"")"),0)</f>
        <v>0</v>
      </c>
      <c r="J201" s="190">
        <f ca="1">IFERROR(__xludf.DUMMYFUNCTION("IMPORTRANGE(""https://docs.google.com/spreadsheets/d/1SX6NBoVAgQJ6U1MVXOaj8PK2l7WJ3RER9xtqwdhxkhw/edit?usp=sharing"",""ราชบุรี!J126"")"),0)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IFERROR(__xludf.DUMMYFUNCTION("IMPORTRANGE(""https://docs.google.com/spreadsheets/d/1SX6NBoVAgQJ6U1MVXOaj8PK2l7WJ3RER9xtqwdhxkhw/edit?usp=sharing"",""ราชบุรี!J127"")"),0)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IFERROR(__xludf.DUMMYFUNCTION("IMPORTRANGE(""https://docs.google.com/spreadsheets/d/1SX6NBoVAgQJ6U1MVXOaj8PK2l7WJ3RER9xtqwdhxkhw/edit?usp=sharing"",""ราชบุรี!J128"")"),0)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IFERROR(__xludf.DUMMYFUNCTION("IMPORTRANGE(""https://docs.google.com/spreadsheets/d/1SX6NBoVAgQJ6U1MVXOaj8PK2l7WJ3RER9xtqwdhxkhw/edit?usp=sharing"",""ราชบุรี!I129"")"),0)</f>
        <v>0</v>
      </c>
      <c r="J204" s="284">
        <f ca="1">IFERROR(__xludf.DUMMYFUNCTION("IMPORTRANGE(""https://docs.google.com/spreadsheets/d/1SX6NBoVAgQJ6U1MVXOaj8PK2l7WJ3RER9xtqwdhxkhw/edit?usp=sharing"",""ราชบุรี!J129"")"),0)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IFERROR(__xludf.DUMMYFUNCTION("IMPORTRANGE(""https://docs.google.com/spreadsheets/d/1SX6NBoVAgQJ6U1MVXOaj8PK2l7WJ3RER9xtqwdhxkhw/edit?usp=sharing"",""ราชบุรี!I138"")"),0)</f>
        <v>0</v>
      </c>
      <c r="J213" s="205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IFERROR(__xludf.DUMMYFUNCTION("IMPORTRANGE(""https://docs.google.com/spreadsheets/d/1SX6NBoVAgQJ6U1MVXOaj8PK2l7WJ3RER9xtqwdhxkhw/edit?usp=sharing"",""ราชบุรี!I140"")"),0)</f>
        <v>0</v>
      </c>
      <c r="J215" s="205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IFERROR(__xludf.DUMMYFUNCTION("IMPORTRANGE(""https://docs.google.com/spreadsheets/d/1SX6NBoVAgQJ6U1MVXOaj8PK2l7WJ3RER9xtqwdhxkhw/edit?usp=sharing"",""ราชบุรี!I141"")"),0)</f>
        <v>0</v>
      </c>
      <c r="J216" s="205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IFERROR(__xludf.DUMMYFUNCTION("IMPORTRANGE(""https://docs.google.com/spreadsheets/d/1Yj_ptqi66GCucihVvJfMjLAmec39IyEx_6qawtMGysU/edit?usp=sharing"",""สบก!BS73"")"),21125)</f>
        <v>21125</v>
      </c>
      <c r="N224" s="170">
        <f ca="1">IFERROR(__xludf.DUMMYFUNCTION("IMPORTRANGE(""https://docs.google.com/spreadsheets/d/1Yj_ptqi66GCucihVvJfMjLAmec39IyEx_6qawtMGysU/edit?usp=sharing"",""สบก!BT73"")"),21125)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IFERROR(__xludf.DUMMYFUNCTION("IMPORTRANGE(""https://docs.google.com/spreadsheets/d/1Yj_ptqi66GCucihVvJfMjLAmec39IyEx_6qawtMGysU/edit?usp=sharing"",""สบก!BO73"")"),0)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IFERROR(__xludf.DUMMYFUNCTION("IMPORTRANGE(""https://docs.google.com/spreadsheets/d/1Yj_ptqi66GCucihVvJfMjLAmec39IyEx_6qawtMGysU/edit?usp=sharing"",""สบก!BP73"")"),21125)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IFERROR(__xludf.DUMMYFUNCTION("IMPORTRANGE(""https://docs.google.com/spreadsheets/d/1SX6NBoVAgQJ6U1MVXOaj8PK2l7WJ3RER9xtqwdhxkhw/edit?usp=sharing"",""ราชบุรี!J151"")"),0)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IFERROR(__xludf.DUMMYFUNCTION("IMPORTRANGE(""https://docs.google.com/spreadsheets/d/1SX6NBoVAgQJ6U1MVXOaj8PK2l7WJ3RER9xtqwdhxkhw/edit?usp=sharing"",""ราชบุรี!J152"")"),0)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IFERROR(__xludf.DUMMYFUNCTION("IMPORTRANGE(""https://docs.google.com/spreadsheets/d/1SX6NBoVAgQJ6U1MVXOaj8PK2l7WJ3RER9xtqwdhxkhw/edit?usp=sharing"",""ราชบุรี!J153"")"),0)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IFERROR(__xludf.DUMMYFUNCTION("IMPORTRANGE(""https://docs.google.com/spreadsheets/d/1SX6NBoVAgQJ6U1MVXOaj8PK2l7WJ3RER9xtqwdhxkhw/edit?usp=sharing"",""ราชบุรี!J154"")"),0)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IFERROR(__xludf.DUMMYFUNCTION("IMPORTRANGE(""https://docs.google.com/spreadsheets/d/1SX6NBoVAgQJ6U1MVXOaj8PK2l7WJ3RER9xtqwdhxkhw/edit?usp=sharing"",""ราชบุรี!I155"")"),15)</f>
        <v>15</v>
      </c>
      <c r="J235" s="190">
        <f ca="1">IFERROR(__xludf.DUMMYFUNCTION("IMPORTRANGE(""https://docs.google.com/spreadsheets/d/1SX6NBoVAgQJ6U1MVXOaj8PK2l7WJ3RER9xtqwdhxkhw/edit?usp=sharing"",""ราชบุรี!J155"")"),15)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IFERROR(__xludf.DUMMYFUNCTION("IMPORTRANGE(""https://docs.google.com/spreadsheets/d/1SX6NBoVAgQJ6U1MVXOaj8PK2l7WJ3RER9xtqwdhxkhw/edit?usp=sharing"",""ราชบุรี!J156"")"),1)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IFERROR(__xludf.DUMMYFUNCTION("IMPORTRANGE(""https://docs.google.com/spreadsheets/d/1SX6NBoVAgQJ6U1MVXOaj8PK2l7WJ3RER9xtqwdhxkhw/edit?usp=sharing"",""ราชบุรี!J159"")"),"")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IFERROR(__xludf.DUMMYFUNCTION("IMPORTRANGE(""https://docs.google.com/spreadsheets/d/1SX6NBoVAgQJ6U1MVXOaj8PK2l7WJ3RER9xtqwdhxkhw/edit?usp=sharing"",""ราชบุรี!J161"")"),0)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IFERROR(__xludf.DUMMYFUNCTION("IMPORTRANGE(""https://docs.google.com/spreadsheets/d/1SX6NBoVAgQJ6U1MVXOaj8PK2l7WJ3RER9xtqwdhxkhw/edit?usp=sharing"",""ราชบุรี!J162"")"),0)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IFERROR(__xludf.DUMMYFUNCTION("IMPORTRANGE(""https://docs.google.com/spreadsheets/d/1SX6NBoVAgQJ6U1MVXOaj8PK2l7WJ3RER9xtqwdhxkhw/edit?usp=sharing"",""ราชบุรี!J163"")"),0)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IFERROR(__xludf.DUMMYFUNCTION("IMPORTRANGE(""https://docs.google.com/spreadsheets/d/1SX6NBoVAgQJ6U1MVXOaj8PK2l7WJ3RER9xtqwdhxkhw/edit?usp=sharing"",""ราชบุรี!I164"")"),0)</f>
        <v>0</v>
      </c>
      <c r="J244" s="189">
        <f ca="1">IFERROR(__xludf.DUMMYFUNCTION("IMPORTRANGE(""https://docs.google.com/spreadsheets/d/1SX6NBoVAgQJ6U1MVXOaj8PK2l7WJ3RER9xtqwdhxkhw/edit?usp=sharing"",""ราชบุรี!J164"")"),0)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IFERROR(__xludf.DUMMYFUNCTION("IMPORTRANGE(""https://docs.google.com/spreadsheets/d/1SX6NBoVAgQJ6U1MVXOaj8PK2l7WJ3RER9xtqwdhxkhw/edit?usp=sharing"",""ราชบุรี!J165"")"),0)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IFERROR(__xludf.DUMMYFUNCTION("IMPORTRANGE(""https://docs.google.com/spreadsheets/d/1SX6NBoVAgQJ6U1MVXOaj8PK2l7WJ3RER9xtqwdhxkhw/edit?usp=sharing"",""ราชบุรี!I169"")"),0)</f>
        <v>0</v>
      </c>
      <c r="J249" s="316">
        <f ca="1">IFERROR(__xludf.DUMMYFUNCTION("IMPORTRANGE(""https://docs.google.com/spreadsheets/d/1SX6NBoVAgQJ6U1MVXOaj8PK2l7WJ3RER9xtqwdhxkhw/edit?usp=sharing"",""ราชบุรี!J169"")"),0)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IFERROR(__xludf.DUMMYFUNCTION("IMPORTRANGE(""https://docs.google.com/spreadsheets/d/1Yj_ptqi66GCucihVvJfMjLAmec39IyEx_6qawtMGysU/edit?usp=sharing"",""สบก!CB73"")"),0)</f>
        <v>0</v>
      </c>
      <c r="N254" s="170">
        <f ca="1">IFERROR(__xludf.DUMMYFUNCTION("IMPORTRANGE(""https://docs.google.com/spreadsheets/d/1Yj_ptqi66GCucihVvJfMjLAmec39IyEx_6qawtMGysU/edit?usp=sharing"",""สบก!CC73"")"),0)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IFERROR(__xludf.DUMMYFUNCTION("IMPORTRANGE(""https://docs.google.com/spreadsheets/d/1Yj_ptqi66GCucihVvJfMjLAmec39IyEx_6qawtMGysU/edit?usp=sharing"",""สบก!BX73"")"),0)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IFERROR(__xludf.DUMMYFUNCTION("IMPORTRANGE(""https://docs.google.com/spreadsheets/d/1Yj_ptqi66GCucihVvJfMjLAmec39IyEx_6qawtMGysU/edit?usp=sharing"",""สบก!BY73"")"),0)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IFERROR(__xludf.DUMMYFUNCTION("IMPORTRANGE(""https://docs.google.com/spreadsheets/d/1SX6NBoVAgQJ6U1MVXOaj8PK2l7WJ3RER9xtqwdhxkhw/edit?usp=sharing"",""ราชบุรี!J175"")"),0)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IFERROR(__xludf.DUMMYFUNCTION("IMPORTRANGE(""https://docs.google.com/spreadsheets/d/1SX6NBoVAgQJ6U1MVXOaj8PK2l7WJ3RER9xtqwdhxkhw/edit?usp=sharing"",""ราชบุรี!J176"")"),0)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IFERROR(__xludf.DUMMYFUNCTION("IMPORTRANGE(""https://docs.google.com/spreadsheets/d/1SX6NBoVAgQJ6U1MVXOaj8PK2l7WJ3RER9xtqwdhxkhw/edit?usp=sharing"",""ราชบุรี!J177"")"),0)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IFERROR(__xludf.DUMMYFUNCTION("IMPORTRANGE(""https://docs.google.com/spreadsheets/d/1SX6NBoVAgQJ6U1MVXOaj8PK2l7WJ3RER9xtqwdhxkhw/edit?usp=sharing"",""ราชบุรี!J178"")"),0)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IFERROR(__xludf.DUMMYFUNCTION("IMPORTRANGE(""https://docs.google.com/spreadsheets/d/1SX6NBoVAgQJ6U1MVXOaj8PK2l7WJ3RER9xtqwdhxkhw/edit?usp=sharing"",""ราชบุรี!I179"")"),0)</f>
        <v>0</v>
      </c>
      <c r="J264" s="190">
        <f ca="1">IFERROR(__xludf.DUMMYFUNCTION("IMPORTRANGE(""https://docs.google.com/spreadsheets/d/1SX6NBoVAgQJ6U1MVXOaj8PK2l7WJ3RER9xtqwdhxkhw/edit?usp=sharing"",""ราชบุรี!J179"")"),0)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IFERROR(__xludf.DUMMYFUNCTION("IMPORTRANGE(""https://docs.google.com/spreadsheets/d/1SX6NBoVAgQJ6U1MVXOaj8PK2l7WJ3RER9xtqwdhxkhw/edit?usp=sharing"",""ราชบุรี!I180"")"),0)</f>
        <v>0</v>
      </c>
      <c r="J265" s="190">
        <f ca="1">IFERROR(__xludf.DUMMYFUNCTION("IMPORTRANGE(""https://docs.google.com/spreadsheets/d/1SX6NBoVAgQJ6U1MVXOaj8PK2l7WJ3RER9xtqwdhxkhw/edit?usp=sharing"",""ราชบุรี!J180"")"),0)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IFERROR(__xludf.DUMMYFUNCTION("IMPORTRANGE(""https://docs.google.com/spreadsheets/d/1SX6NBoVAgQJ6U1MVXOaj8PK2l7WJ3RER9xtqwdhxkhw/edit?usp=sharing"",""ราชบุรี!I181"")"),0)</f>
        <v>0</v>
      </c>
      <c r="J266" s="190">
        <f ca="1">IFERROR(__xludf.DUMMYFUNCTION("IMPORTRANGE(""https://docs.google.com/spreadsheets/d/1SX6NBoVAgQJ6U1MVXOaj8PK2l7WJ3RER9xtqwdhxkhw/edit?usp=sharing"",""ราชบุรี!J181"")"),0)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IFERROR(__xludf.DUMMYFUNCTION("IMPORTRANGE(""https://docs.google.com/spreadsheets/d/1SX6NBoVAgQJ6U1MVXOaj8PK2l7WJ3RER9xtqwdhxkhw/edit?usp=sharing"",""ราชบุรี!I182"")"),0)</f>
        <v>0</v>
      </c>
      <c r="J267" s="190">
        <f ca="1">IFERROR(__xludf.DUMMYFUNCTION("IMPORTRANGE(""https://docs.google.com/spreadsheets/d/1SX6NBoVAgQJ6U1MVXOaj8PK2l7WJ3RER9xtqwdhxkhw/edit?usp=sharing"",""ราชบุรี!J182"")"),0)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IFERROR(__xludf.DUMMYFUNCTION("IMPORTRANGE(""https://docs.google.com/spreadsheets/d/1SX6NBoVAgQJ6U1MVXOaj8PK2l7WJ3RER9xtqwdhxkhw/edit?usp=sharing"",""ราชบุรี!J183"")"),0)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IFERROR(__xludf.DUMMYFUNCTION("IMPORTRANGE(""https://docs.google.com/spreadsheets/d/1SX6NBoVAgQJ6U1MVXOaj8PK2l7WJ3RER9xtqwdhxkhw/edit?usp=sharing"",""ราชบุรี!J184"")"),0)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IFERROR(__xludf.DUMMYFUNCTION("IMPORTRANGE(""https://docs.google.com/spreadsheets/d/1SX6NBoVAgQJ6U1MVXOaj8PK2l7WJ3RER9xtqwdhxkhw/edit?usp=sharing"",""ราชบุรี!I185"")"),15)</f>
        <v>15</v>
      </c>
      <c r="J270" s="316">
        <f ca="1">IFERROR(__xludf.DUMMYFUNCTION("IMPORTRANGE(""https://docs.google.com/spreadsheets/d/1SX6NBoVAgQJ6U1MVXOaj8PK2l7WJ3RER9xtqwdhxkhw/edit?usp=sharing"",""ราชบุรี!J185"")"),15)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187200</v>
      </c>
      <c r="M271" s="152">
        <f t="shared" ca="1" si="83"/>
        <v>98250</v>
      </c>
      <c r="N271" s="152">
        <f t="shared" ca="1" si="83"/>
        <v>81459</v>
      </c>
      <c r="O271" s="151">
        <f t="shared" ref="O271:O273" ca="1" si="84">IF(L271&gt;0,N271*100/L271,0)</f>
        <v>43.51442307692308</v>
      </c>
      <c r="P271" s="151">
        <f t="shared" ref="P271:P273" ca="1" si="85">IF(M271&gt;0,N271*100/M271,0)</f>
        <v>82.909923664122132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187200</v>
      </c>
      <c r="M273" s="157">
        <f t="shared" ca="1" si="87"/>
        <v>98250</v>
      </c>
      <c r="N273" s="157">
        <f t="shared" ca="1" si="87"/>
        <v>81459</v>
      </c>
      <c r="O273" s="156">
        <f t="shared" ca="1" si="84"/>
        <v>43.51442307692308</v>
      </c>
      <c r="P273" s="156">
        <f t="shared" ca="1" si="85"/>
        <v>82.909923664122132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187200</v>
      </c>
      <c r="M275" s="169">
        <f ca="1">IFERROR(__xludf.DUMMYFUNCTION("IMPORTRANGE(""https://docs.google.com/spreadsheets/d/1Yj_ptqi66GCucihVvJfMjLAmec39IyEx_6qawtMGysU/edit?usp=sharing"",""สบก!CK73"")"),98250)</f>
        <v>98250</v>
      </c>
      <c r="N275" s="170">
        <f ca="1">IFERROR(__xludf.DUMMYFUNCTION("IMPORTRANGE(""https://docs.google.com/spreadsheets/d/1Yj_ptqi66GCucihVvJfMjLAmec39IyEx_6qawtMGysU/edit?usp=sharing"",""สบก!CL73"")"),81459)</f>
        <v>81459</v>
      </c>
      <c r="O275" s="170">
        <f ca="1">IF(L275&gt;0,N275*100/L275,0)</f>
        <v>43.51442307692308</v>
      </c>
      <c r="P275" s="170">
        <f ca="1">IF(M275&gt;0,N275*100/M275,0)</f>
        <v>82.909923664122132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IFERROR(__xludf.DUMMYFUNCTION("IMPORTRANGE(""https://docs.google.com/spreadsheets/d/1Yj_ptqi66GCucihVvJfMjLAmec39IyEx_6qawtMGysU/edit?usp=sharing"",""สบก!CG73"")"),132000)</f>
        <v>132000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IFERROR(__xludf.DUMMYFUNCTION("IMPORTRANGE(""https://docs.google.com/spreadsheets/d/1Yj_ptqi66GCucihVvJfMjLAmec39IyEx_6qawtMGysU/edit?usp=sharing"",""สบก!CH73"")"),55200)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IFERROR(__xludf.DUMMYFUNCTION("IMPORTRANGE(""https://docs.google.com/spreadsheets/d/1SX6NBoVAgQJ6U1MVXOaj8PK2l7WJ3RER9xtqwdhxkhw/edit?usp=sharing"",""ราชบุรี!J191"")"),0)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IFERROR(__xludf.DUMMYFUNCTION("IMPORTRANGE(""https://docs.google.com/spreadsheets/d/1SX6NBoVAgQJ6U1MVXOaj8PK2l7WJ3RER9xtqwdhxkhw/edit?usp=sharing"",""ราชบุรี!J192"")"),1)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IFERROR(__xludf.DUMMYFUNCTION("IMPORTRANGE(""https://docs.google.com/spreadsheets/d/1SX6NBoVAgQJ6U1MVXOaj8PK2l7WJ3RER9xtqwdhxkhw/edit?usp=sharing"",""ราชบุรี!J193"")"),1)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IFERROR(__xludf.DUMMYFUNCTION("IMPORTRANGE(""https://docs.google.com/spreadsheets/d/1SX6NBoVAgQJ6U1MVXOaj8PK2l7WJ3RER9xtqwdhxkhw/edit?usp=sharing"",""ราชบุรี!J194"")"),1)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IFERROR(__xludf.DUMMYFUNCTION("IMPORTRANGE(""https://docs.google.com/spreadsheets/d/1SX6NBoVAgQJ6U1MVXOaj8PK2l7WJ3RER9xtqwdhxkhw/edit?usp=sharing"",""ราชบุรี!I195"")"),15)</f>
        <v>15</v>
      </c>
      <c r="J285" s="190">
        <f ca="1">IFERROR(__xludf.DUMMYFUNCTION("IMPORTRANGE(""https://docs.google.com/spreadsheets/d/1SX6NBoVAgQJ6U1MVXOaj8PK2l7WJ3RER9xtqwdhxkhw/edit?usp=sharing"",""ราชบุรี!J195"")"),15)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IFERROR(__xludf.DUMMYFUNCTION("IMPORTRANGE(""https://docs.google.com/spreadsheets/d/1SX6NBoVAgQJ6U1MVXOaj8PK2l7WJ3RER9xtqwdhxkhw/edit?usp=sharing"",""ราชบุรี!J196"")"),0)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IFERROR(__xludf.DUMMYFUNCTION("IMPORTRANGE(""https://docs.google.com/spreadsheets/d/1SX6NBoVAgQJ6U1MVXOaj8PK2l7WJ3RER9xtqwdhxkhw/edit?usp=sharing"",""ราชบุรี!J197"")"),0)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IFERROR(__xludf.DUMMYFUNCTION("IMPORTRANGE(""https://docs.google.com/spreadsheets/d/1SX6NBoVAgQJ6U1MVXOaj8PK2l7WJ3RER9xtqwdhxkhw/edit?usp=sharing"",""ราชบุรี!I199"")"),0)</f>
        <v>0</v>
      </c>
      <c r="J289" s="316">
        <f ca="1">IFERROR(__xludf.DUMMYFUNCTION("IMPORTRANGE(""https://docs.google.com/spreadsheets/d/1SX6NBoVAgQJ6U1MVXOaj8PK2l7WJ3RER9xtqwdhxkhw/edit?usp=sharing"",""ราชบุรี!J199"")"),0)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IFERROR(__xludf.DUMMYFUNCTION("IMPORTRANGE(""https://docs.google.com/spreadsheets/d/1Yj_ptqi66GCucihVvJfMjLAmec39IyEx_6qawtMGysU/edit?usp=sharing"",""สบก!CT73"")"),0)</f>
        <v>0</v>
      </c>
      <c r="N294" s="170">
        <f ca="1">IFERROR(__xludf.DUMMYFUNCTION("IMPORTRANGE(""https://docs.google.com/spreadsheets/d/1Yj_ptqi66GCucihVvJfMjLAmec39IyEx_6qawtMGysU/edit?usp=sharing"",""สบก!CU73"")"),0)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IFERROR(__xludf.DUMMYFUNCTION("IMPORTRANGE(""https://docs.google.com/spreadsheets/d/1Yj_ptqi66GCucihVvJfMjLAmec39IyEx_6qawtMGysU/edit?usp=sharing"",""สบก!CP73"")"),0)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IFERROR(__xludf.DUMMYFUNCTION("IMPORTRANGE(""https://docs.google.com/spreadsheets/d/1Yj_ptqi66GCucihVvJfMjLAmec39IyEx_6qawtMGysU/edit?usp=sharing"",""สบก!CQ73"")"),0)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IFERROR(__xludf.DUMMYFUNCTION("IMPORTRANGE(""https://docs.google.com/spreadsheets/d/1SX6NBoVAgQJ6U1MVXOaj8PK2l7WJ3RER9xtqwdhxkhw/edit?usp=sharing"",""ราชบุรี!I209"")"),0)</f>
        <v>0</v>
      </c>
      <c r="J304" s="205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IFERROR(__xludf.DUMMYFUNCTION("IMPORTRANGE(""https://docs.google.com/spreadsheets/d/1SX6NBoVAgQJ6U1MVXOaj8PK2l7WJ3RER9xtqwdhxkhw/edit?usp=sharing"",""ราชบุรี!I211"")"),0)</f>
        <v>0</v>
      </c>
      <c r="J306" s="205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IFERROR(__xludf.DUMMYFUNCTION("IMPORTRANGE(""https://docs.google.com/spreadsheets/d/1SX6NBoVAgQJ6U1MVXOaj8PK2l7WJ3RER9xtqwdhxkhw/edit?usp=sharing"",""ราชบุรี!I214"")"),0)</f>
        <v>0</v>
      </c>
      <c r="J309" s="333">
        <f ca="1">IFERROR(__xludf.DUMMYFUNCTION("IMPORTRANGE(""https://docs.google.com/spreadsheets/d/1SX6NBoVAgQJ6U1MVXOaj8PK2l7WJ3RER9xtqwdhxkhw/edit?usp=sharing"",""ราชบุรี!J214"")"),0)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IFERROR(__xludf.DUMMYFUNCTION("IMPORTRANGE(""https://docs.google.com/spreadsheets/d/1Yj_ptqi66GCucihVvJfMjLAmec39IyEx_6qawtMGysU/edit?usp=sharing"",""สบก!DC73"")"),0)</f>
        <v>0</v>
      </c>
      <c r="N314" s="170">
        <f ca="1">IFERROR(__xludf.DUMMYFUNCTION("IMPORTRANGE(""https://docs.google.com/spreadsheets/d/1Yj_ptqi66GCucihVvJfMjLAmec39IyEx_6qawtMGysU/edit?usp=sharing"",""สบก!DD73"")"),0)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IFERROR(__xludf.DUMMYFUNCTION("IMPORTRANGE(""https://docs.google.com/spreadsheets/d/1Yj_ptqi66GCucihVvJfMjLAmec39IyEx_6qawtMGysU/edit?usp=sharing"",""สบก!CY73"")"),0)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IFERROR(__xludf.DUMMYFUNCTION("IMPORTRANGE(""https://docs.google.com/spreadsheets/d/1Yj_ptqi66GCucihVvJfMjLAmec39IyEx_6qawtMGysU/edit?usp=sharing"",""สบก!CZ73"")"),0)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IFERROR(__xludf.DUMMYFUNCTION("IMPORTRANGE(""https://docs.google.com/spreadsheets/d/1SX6NBoVAgQJ6U1MVXOaj8PK2l7WJ3RER9xtqwdhxkhw/edit?usp=sharing"",""ราชบุรี!I224"")"),0)</f>
        <v>0</v>
      </c>
      <c r="J324" s="205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IFERROR(__xludf.DUMMYFUNCTION("IMPORTRANGE(""https://docs.google.com/spreadsheets/d/1SX6NBoVAgQJ6U1MVXOaj8PK2l7WJ3RER9xtqwdhxkhw/edit?usp=sharing"",""ราชบุรี!I228"")"),220)</f>
        <v>220</v>
      </c>
      <c r="J328" s="339">
        <f ca="1">IFERROR(__xludf.DUMMYFUNCTION("IMPORTRANGE(""https://docs.google.com/spreadsheets/d/1SX6NBoVAgQJ6U1MVXOaj8PK2l7WJ3RER9xtqwdhxkhw/edit?usp=sharing"",""ราชบุรี!J228"")"),40)</f>
        <v>40</v>
      </c>
      <c r="K328" s="317">
        <f ca="1">IF(I328&gt;0,J328*100/I328,0)</f>
        <v>18.181818181818183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955800</v>
      </c>
      <c r="M329" s="152">
        <f t="shared" ca="1" si="98"/>
        <v>527560</v>
      </c>
      <c r="N329" s="152">
        <f t="shared" ca="1" si="98"/>
        <v>462476</v>
      </c>
      <c r="O329" s="151">
        <f t="shared" ref="O329:O331" ca="1" si="99">IF(L329&gt;0,N329*100/L329,0)</f>
        <v>48.386273278928648</v>
      </c>
      <c r="P329" s="151">
        <f t="shared" ref="P329:P331" ca="1" si="100">IF(M329&gt;0,N329*100/M329,0)</f>
        <v>87.663204185305943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955800</v>
      </c>
      <c r="M331" s="157">
        <f t="shared" ca="1" si="102"/>
        <v>527560</v>
      </c>
      <c r="N331" s="157">
        <f t="shared" ca="1" si="102"/>
        <v>462476</v>
      </c>
      <c r="O331" s="156">
        <f t="shared" ca="1" si="99"/>
        <v>48.386273278928648</v>
      </c>
      <c r="P331" s="156">
        <f t="shared" ca="1" si="100"/>
        <v>87.663204185305943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921300</v>
      </c>
      <c r="M333" s="169">
        <f ca="1">IFERROR(__xludf.DUMMYFUNCTION("IMPORTRANGE(""https://docs.google.com/spreadsheets/d/1Yj_ptqi66GCucihVvJfMjLAmec39IyEx_6qawtMGysU/edit?usp=sharing"",""สบก!DL73"")"),493060)</f>
        <v>493060</v>
      </c>
      <c r="N333" s="170">
        <f ca="1">IFERROR(__xludf.DUMMYFUNCTION("IMPORTRANGE(""https://docs.google.com/spreadsheets/d/1Yj_ptqi66GCucihVvJfMjLAmec39IyEx_6qawtMGysU/edit?usp=sharing"",""สบก!DM73"")"),427976)</f>
        <v>427976</v>
      </c>
      <c r="O333" s="170">
        <f ca="1">IF(L333&gt;0,N333*100/L333,0)</f>
        <v>46.453489634212524</v>
      </c>
      <c r="P333" s="170">
        <f ca="1">IF(M333&gt;0,N333*100/M333,0)</f>
        <v>86.799983774794143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IFERROR(__xludf.DUMMYFUNCTION("IMPORTRANGE(""https://docs.google.com/spreadsheets/d/1Yj_ptqi66GCucihVvJfMjLAmec39IyEx_6qawtMGysU/edit?usp=sharing"",""สบก!DH73"")"),564000)</f>
        <v>564000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IFERROR(__xludf.DUMMYFUNCTION("IMPORTRANGE(""https://docs.google.com/spreadsheets/d/1Yj_ptqi66GCucihVvJfMjLAmec39IyEx_6qawtMGysU/edit?usp=sharing"",""สบก!DI73"")"),357300)</f>
        <v>357300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IFERROR(__xludf.DUMMYFUNCTION("IMPORTRANGE(""https://docs.google.com/spreadsheets/d/1SX6NBoVAgQJ6U1MVXOaj8PK2l7WJ3RER9xtqwdhxkhw/edit?usp=sharing"",""ราชบุรี!I234"")"),0)</f>
        <v>0</v>
      </c>
      <c r="J339" s="189">
        <f ca="1">IFERROR(__xludf.DUMMYFUNCTION("IMPORTRANGE(""https://docs.google.com/spreadsheets/d/1SX6NBoVAgQJ6U1MVXOaj8PK2l7WJ3RER9xtqwdhxkhw/edit?usp=sharing"",""ราชบุรี!J234"")"),60)</f>
        <v>60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IFERROR(__xludf.DUMMYFUNCTION("IMPORTRANGE(""https://docs.google.com/spreadsheets/d/1SX6NBoVAgQJ6U1MVXOaj8PK2l7WJ3RER9xtqwdhxkhw/edit?usp=sharing"",""ราชบุรี!I235"")"),2000)</f>
        <v>2000</v>
      </c>
      <c r="J340" s="189">
        <f ca="1">IFERROR(__xludf.DUMMYFUNCTION("IMPORTRANGE(""https://docs.google.com/spreadsheets/d/1SX6NBoVAgQJ6U1MVXOaj8PK2l7WJ3RER9xtqwdhxkhw/edit?usp=sharing"",""ราชบุรี!J235"")"),917.56)</f>
        <v>917.56</v>
      </c>
      <c r="K340" s="342">
        <f t="shared" ca="1" si="103"/>
        <v>45.878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IFERROR(__xludf.DUMMYFUNCTION("IMPORTRANGE(""https://docs.google.com/spreadsheets/d/1SX6NBoVAgQJ6U1MVXOaj8PK2l7WJ3RER9xtqwdhxkhw/edit?usp=sharing"",""ราชบุรี!I236"")"),220)</f>
        <v>220</v>
      </c>
      <c r="J341" s="189">
        <f ca="1">IFERROR(__xludf.DUMMYFUNCTION("IMPORTRANGE(""https://docs.google.com/spreadsheets/d/1SX6NBoVAgQJ6U1MVXOaj8PK2l7WJ3RER9xtqwdhxkhw/edit?usp=sharing"",""ราชบุรี!J236"")"),40)</f>
        <v>40</v>
      </c>
      <c r="K341" s="342">
        <f t="shared" ca="1" si="103"/>
        <v>18.181818181818183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9">
        <f ca="1">IFERROR(__xludf.DUMMYFUNCTION("IMPORTRANGE(""https://docs.google.com/spreadsheets/d/1SX6NBoVAgQJ6U1MVXOaj8PK2l7WJ3RER9xtqwdhxkhw/edit?usp=sharing"",""ราชบุรี!J237"")"),401.24)</f>
        <v>401.24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IFERROR(__xludf.DUMMYFUNCTION("IMPORTRANGE(""https://docs.google.com/spreadsheets/d/1SX6NBoVAgQJ6U1MVXOaj8PK2l7WJ3RER9xtqwdhxkhw/edit?usp=sharing"",""ราชบุรี!I238"")"),220)</f>
        <v>220</v>
      </c>
      <c r="J343" s="189">
        <f ca="1">IFERROR(__xludf.DUMMYFUNCTION("IMPORTRANGE(""https://docs.google.com/spreadsheets/d/1SX6NBoVAgQJ6U1MVXOaj8PK2l7WJ3RER9xtqwdhxkhw/edit?usp=sharing"",""ราชบุรี!J238"")"),0)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9">
        <f ca="1">IFERROR(__xludf.DUMMYFUNCTION("IMPORTRANGE(""https://docs.google.com/spreadsheets/d/1SX6NBoVAgQJ6U1MVXOaj8PK2l7WJ3RER9xtqwdhxkhw/edit?usp=sharing"",""ราชบุรี!J239"")"),0)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IFERROR(__xludf.DUMMYFUNCTION("IMPORTRANGE(""https://docs.google.com/spreadsheets/d/1SX6NBoVAgQJ6U1MVXOaj8PK2l7WJ3RER9xtqwdhxkhw/edit?usp=sharing"",""ราชบุรี!I240"")"),220)</f>
        <v>220</v>
      </c>
      <c r="J345" s="189">
        <f ca="1">IFERROR(__xludf.DUMMYFUNCTION("IMPORTRANGE(""https://docs.google.com/spreadsheets/d/1SX6NBoVAgQJ6U1MVXOaj8PK2l7WJ3RER9xtqwdhxkhw/edit?usp=sharing"",""ราชบุรี!J240"")"),40)</f>
        <v>40</v>
      </c>
      <c r="K345" s="342">
        <f t="shared" ca="1" si="103"/>
        <v>18.181818181818183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9">
        <f ca="1">IFERROR(__xludf.DUMMYFUNCTION("IMPORTRANGE(""https://docs.google.com/spreadsheets/d/1SX6NBoVAgQJ6U1MVXOaj8PK2l7WJ3RER9xtqwdhxkhw/edit?usp=sharing"",""ราชบุรี!J241"")"),383.63)</f>
        <v>383.63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IFERROR(__xludf.DUMMYFUNCTION("IMPORTRANGE(""https://docs.google.com/spreadsheets/d/1SX6NBoVAgQJ6U1MVXOaj8PK2l7WJ3RER9xtqwdhxkhw/edit?usp=sharing"",""ราชบุรี!L242"")"),1600132)</f>
        <v>1600132</v>
      </c>
      <c r="M347" s="358"/>
      <c r="N347" s="358">
        <f ca="1">IFERROR(__xludf.DUMMYFUNCTION("IMPORTRANGE(""https://docs.google.com/spreadsheets/d/1SX6NBoVAgQJ6U1MVXOaj8PK2l7WJ3RER9xtqwdhxkhw/edit?usp=sharing"",""ราชบุรี!M242"")"),411940.269999999)</f>
        <v>411940.26999999897</v>
      </c>
      <c r="O347" s="358">
        <f ca="1">+IF(L347&gt;0,N347*100/L347,0)</f>
        <v>25.744142983203819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IFERROR(__xludf.DUMMYFUNCTION("IMPORTRANGE(""https://docs.google.com/spreadsheets/d/1SX6NBoVAgQJ6U1MVXOaj8PK2l7WJ3RER9xtqwdhxkhw/edit?usp=sharing"",""ราชบุรี!L246"")"),0)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IFERROR(__xludf.DUMMYFUNCTION("IMPORTRANGE(""https://docs.google.com/spreadsheets/d/1SX6NBoVAgQJ6U1MVXOaj8PK2l7WJ3RER9xtqwdhxkhw/edit?usp=sharing"",""ราชบุรี!M246"")"),0)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IFERROR(__xludf.DUMMYFUNCTION("IMPORTRANGE(""https://docs.google.com/spreadsheets/d/1SX6NBoVAgQJ6U1MVXOaj8PK2l7WJ3RER9xtqwdhxkhw/edit?usp=sharing"",""ราชบุรี!L247"")"),0)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IFERROR(__xludf.DUMMYFUNCTION("IMPORTRANGE(""https://docs.google.com/spreadsheets/d/1SX6NBoVAgQJ6U1MVXOaj8PK2l7WJ3RER9xtqwdhxkhw/edit?usp=sharing"",""ราชบุรี!M247"")"),0)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IFERROR(__xludf.DUMMYFUNCTION("IMPORTRANGE(""https://docs.google.com/spreadsheets/d/1SX6NBoVAgQJ6U1MVXOaj8PK2l7WJ3RER9xtqwdhxkhw/edit?usp=sharing"",""ราชบุรี!L248"")"),0)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IFERROR(__xludf.DUMMYFUNCTION("IMPORTRANGE(""https://docs.google.com/spreadsheets/d/1SX6NBoVAgQJ6U1MVXOaj8PK2l7WJ3RER9xtqwdhxkhw/edit?usp=sharing"",""ราชบุรี!M248"")"),0)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IFERROR(__xludf.DUMMYFUNCTION("IMPORTRANGE(""https://docs.google.com/spreadsheets/d/1SX6NBoVAgQJ6U1MVXOaj8PK2l7WJ3RER9xtqwdhxkhw/edit?usp=sharing"",""ราชบุรี!L249"")"),0)</f>
        <v>0</v>
      </c>
      <c r="M354" s="170"/>
      <c r="N354" s="169">
        <f ca="1">IFERROR(__xludf.DUMMYFUNCTION("IMPORTRANGE(""https://docs.google.com/spreadsheets/d/1SX6NBoVAgQJ6U1MVXOaj8PK2l7WJ3RER9xtqwdhxkhw/edit?usp=sharing"",""ราชบุรี!M249"")"),0)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IFERROR(__xludf.DUMMYFUNCTION("IMPORTRANGE(""https://docs.google.com/spreadsheets/d/1SX6NBoVAgQJ6U1MVXOaj8PK2l7WJ3RER9xtqwdhxkhw/edit?usp=sharing"",""ราชบุรี!J255"")"),0)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IFERROR(__xludf.DUMMYFUNCTION("IMPORTRANGE(""https://docs.google.com/spreadsheets/d/1SX6NBoVAgQJ6U1MVXOaj8PK2l7WJ3RER9xtqwdhxkhw/edit?usp=sharing"",""ราชบุรี!J256"")"),0)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IFERROR(__xludf.DUMMYFUNCTION("IMPORTRANGE(""https://docs.google.com/spreadsheets/d/1SX6NBoVAgQJ6U1MVXOaj8PK2l7WJ3RER9xtqwdhxkhw/edit?usp=sharing"",""ราชบุรี!J257"")"),0)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IFERROR(__xludf.DUMMYFUNCTION("IMPORTRANGE(""https://docs.google.com/spreadsheets/d/1SX6NBoVAgQJ6U1MVXOaj8PK2l7WJ3RER9xtqwdhxkhw/edit?usp=sharing"",""ราชบุรี!J258"")"),0)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IFERROR(__xludf.DUMMYFUNCTION("IMPORTRANGE(""https://docs.google.com/spreadsheets/d/1SX6NBoVAgQJ6U1MVXOaj8PK2l7WJ3RER9xtqwdhxkhw/edit?usp=sharing"",""ราชบุรี!J166"")"),0)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IFERROR(__xludf.DUMMYFUNCTION("IMPORTRANGE(""https://docs.google.com/spreadsheets/d/1SX6NBoVAgQJ6U1MVXOaj8PK2l7WJ3RER9xtqwdhxkhw/edit?usp=sharing"",""ราชบุรี!J166"")"),0)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IFERROR(__xludf.DUMMYFUNCTION("IMPORTRANGE(""https://docs.google.com/spreadsheets/d/1SX6NBoVAgQJ6U1MVXOaj8PK2l7WJ3RER9xtqwdhxkhw/edit?usp=sharing"",""ราชบุรี!J166"")"),0)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IFERROR(__xludf.DUMMYFUNCTION("IMPORTRANGE(""https://docs.google.com/spreadsheets/d/1SX6NBoVAgQJ6U1MVXOaj8PK2l7WJ3RER9xtqwdhxkhw/edit?usp=sharing"",""ราชบุรี!J166"")"),0)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IFERROR(__xludf.DUMMYFUNCTION("IMPORTRANGE(""https://docs.google.com/spreadsheets/d/1SX6NBoVAgQJ6U1MVXOaj8PK2l7WJ3RER9xtqwdhxkhw/edit?usp=sharing"",""ราชบุรี!I263"")"),0)</f>
        <v>0</v>
      </c>
      <c r="J368" s="189">
        <f ca="1">IFERROR(__xludf.DUMMYFUNCTION("IMPORTRANGE(""https://docs.google.com/spreadsheets/d/1SX6NBoVAgQJ6U1MVXOaj8PK2l7WJ3RER9xtqwdhxkhw/edit?usp=sharing"",""ราชบุรี!J263"")"),0)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IFERROR(__xludf.DUMMYFUNCTION("IMPORTRANGE(""https://docs.google.com/spreadsheets/d/1SX6NBoVAgQJ6U1MVXOaj8PK2l7WJ3RER9xtqwdhxkhw/edit?usp=sharing"",""ราชบุรี!I164"")"),0)</f>
        <v>0</v>
      </c>
      <c r="J369" s="205">
        <f ca="1">IFERROR(__xludf.DUMMYFUNCTION("IMPORTRANGE(""https://docs.google.com/spreadsheets/d/1SX6NBoVAgQJ6U1MVXOaj8PK2l7WJ3RER9xtqwdhxkhw/edit?usp=sharing"",""ราชบุรี!J164"")"),0)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IFERROR(__xludf.DUMMYFUNCTION("IMPORTRANGE(""https://docs.google.com/spreadsheets/d/1SX6NBoVAgQJ6U1MVXOaj8PK2l7WJ3RER9xtqwdhxkhw/edit?usp=sharing"",""ราชบุรี!I265"")"),0)</f>
        <v>0</v>
      </c>
      <c r="J370" s="205">
        <f ca="1">IFERROR(__xludf.DUMMYFUNCTION("IMPORTRANGE(""https://docs.google.com/spreadsheets/d/1SX6NBoVAgQJ6U1MVXOaj8PK2l7WJ3RER9xtqwdhxkhw/edit?usp=sharing"",""ราชบุรี!J265"")"),0)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IFERROR(__xludf.DUMMYFUNCTION("IMPORTRANGE(""https://docs.google.com/spreadsheets/d/1SX6NBoVAgQJ6U1MVXOaj8PK2l7WJ3RER9xtqwdhxkhw/edit?usp=sharing"",""ราชบุรี!I164"")"),0)</f>
        <v>0</v>
      </c>
      <c r="J371" s="190">
        <f ca="1">IFERROR(__xludf.DUMMYFUNCTION("IMPORTRANGE(""https://docs.google.com/spreadsheets/d/1SX6NBoVAgQJ6U1MVXOaj8PK2l7WJ3RER9xtqwdhxkhw/edit?usp=sharing"",""ราชบุรี!J164"")"),0)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IFERROR(__xludf.DUMMYFUNCTION("IMPORTRANGE(""https://docs.google.com/spreadsheets/d/1SX6NBoVAgQJ6U1MVXOaj8PK2l7WJ3RER9xtqwdhxkhw/edit?usp=sharing"",""ราชบุรี!I267"")"),0)</f>
        <v>0</v>
      </c>
      <c r="J372" s="190">
        <f ca="1">IFERROR(__xludf.DUMMYFUNCTION("IMPORTRANGE(""https://docs.google.com/spreadsheets/d/1SX6NBoVAgQJ6U1MVXOaj8PK2l7WJ3RER9xtqwdhxkhw/edit?usp=sharing"",""ราชบุรี!J267"")"),0)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IFERROR(__xludf.DUMMYFUNCTION("IMPORTRANGE(""https://docs.google.com/spreadsheets/d/1SX6NBoVAgQJ6U1MVXOaj8PK2l7WJ3RER9xtqwdhxkhw/edit?usp=sharing"",""ราชบุรี!I164"")"),0)</f>
        <v>0</v>
      </c>
      <c r="J373" s="205">
        <f ca="1">IFERROR(__xludf.DUMMYFUNCTION("IMPORTRANGE(""https://docs.google.com/spreadsheets/d/1SX6NBoVAgQJ6U1MVXOaj8PK2l7WJ3RER9xtqwdhxkhw/edit?usp=sharing"",""ราชบุรี!J164"")"),0)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IFERROR(__xludf.DUMMYFUNCTION("IMPORTRANGE(""https://docs.google.com/spreadsheets/d/1SX6NBoVAgQJ6U1MVXOaj8PK2l7WJ3RER9xtqwdhxkhw/edit?usp=sharing"",""ราชบุรี!I164"")"),0)</f>
        <v>0</v>
      </c>
      <c r="J374" s="189">
        <f ca="1">IFERROR(__xludf.DUMMYFUNCTION("IMPORTRANGE(""https://docs.google.com/spreadsheets/d/1SX6NBoVAgQJ6U1MVXOaj8PK2l7WJ3RER9xtqwdhxkhw/edit?usp=sharing"",""ราชบุรี!J164"")"),0)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IFERROR(__xludf.DUMMYFUNCTION("IMPORTRANGE(""https://docs.google.com/spreadsheets/d/1SX6NBoVAgQJ6U1MVXOaj8PK2l7WJ3RER9xtqwdhxkhw/edit?usp=sharing"",""ราชบุรี!I270"")"),0)</f>
        <v>0</v>
      </c>
      <c r="J375" s="189">
        <f ca="1">IFERROR(__xludf.DUMMYFUNCTION("IMPORTRANGE(""https://docs.google.com/spreadsheets/d/1SX6NBoVAgQJ6U1MVXOaj8PK2l7WJ3RER9xtqwdhxkhw/edit?usp=sharing"",""ราชบุรี!J270"")"),0)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IFERROR(__xludf.DUMMYFUNCTION("IMPORTRANGE(""https://docs.google.com/spreadsheets/d/1SX6NBoVAgQJ6U1MVXOaj8PK2l7WJ3RER9xtqwdhxkhw/edit?usp=sharing"",""ราชบุรี!I271"")"),0)</f>
        <v>0</v>
      </c>
      <c r="J376" s="190">
        <f ca="1">IFERROR(__xludf.DUMMYFUNCTION("IMPORTRANGE(""https://docs.google.com/spreadsheets/d/1SX6NBoVAgQJ6U1MVXOaj8PK2l7WJ3RER9xtqwdhxkhw/edit?usp=sharing"",""ราชบุรี!J271"")"),0)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IFERROR(__xludf.DUMMYFUNCTION("IMPORTRANGE(""https://docs.google.com/spreadsheets/d/1SX6NBoVAgQJ6U1MVXOaj8PK2l7WJ3RER9xtqwdhxkhw/edit?usp=sharing"",""ราชบุรี!I272"")"),0)</f>
        <v>0</v>
      </c>
      <c r="J377" s="205">
        <f ca="1">IFERROR(__xludf.DUMMYFUNCTION("IMPORTRANGE(""https://docs.google.com/spreadsheets/d/1SX6NBoVAgQJ6U1MVXOaj8PK2l7WJ3RER9xtqwdhxkhw/edit?usp=sharing"",""ราชบุรี!J272"")"),0)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IFERROR(__xludf.DUMMYFUNCTION("IMPORTRANGE(""https://docs.google.com/spreadsheets/d/1SX6NBoVAgQJ6U1MVXOaj8PK2l7WJ3RER9xtqwdhxkhw/edit?usp=sharing"",""ราชบุรี!J273"")"),0)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IFERROR(__xludf.DUMMYFUNCTION("IMPORTRANGE(""https://docs.google.com/spreadsheets/d/1SX6NBoVAgQJ6U1MVXOaj8PK2l7WJ3RER9xtqwdhxkhw/edit?usp=sharing"",""ราชบุรี!M275"")"),241270.18)</f>
        <v>241270.18</v>
      </c>
      <c r="O380" s="373">
        <f ca="1">+IF(L380&gt;0,N380*100/L380,0)</f>
        <v>23.457995955353322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IFERROR(__xludf.DUMMYFUNCTION("IMPORTRANGE(""https://docs.google.com/spreadsheets/d/1SX6NBoVAgQJ6U1MVXOaj8PK2l7WJ3RER9xtqwdhxkhw/edit?usp=sharing"",""ราชบุรี!L277"")"),0)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IFERROR(__xludf.DUMMYFUNCTION("IMPORTRANGE(""https://docs.google.com/spreadsheets/d/1SX6NBoVAgQJ6U1MVXOaj8PK2l7WJ3RER9xtqwdhxkhw/edit?usp=sharing"",""ราชบุรี!M277"")"),0)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IFERROR(__xludf.DUMMYFUNCTION("IMPORTRANGE(""https://docs.google.com/spreadsheets/d/1SX6NBoVAgQJ6U1MVXOaj8PK2l7WJ3RER9xtqwdhxkhw/edit?usp=sharing"",""ราชบุรี!L278"")"),1028520)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IFERROR(__xludf.DUMMYFUNCTION("IMPORTRANGE(""https://docs.google.com/spreadsheets/d/1SX6NBoVAgQJ6U1MVXOaj8PK2l7WJ3RER9xtqwdhxkhw/edit?usp=sharing"",""ราชบุรี!M278"")"),241270.18)</f>
        <v>241270.18</v>
      </c>
      <c r="O383" s="167">
        <f t="shared" ca="1" si="109"/>
        <v>23.457995955353322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IFERROR(__xludf.DUMMYFUNCTION("IMPORTRANGE(""https://docs.google.com/spreadsheets/d/1SX6NBoVAgQJ6U1MVXOaj8PK2l7WJ3RER9xtqwdhxkhw/edit?usp=sharing"",""ราชบุรี!L279"")"),0)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IFERROR(__xludf.DUMMYFUNCTION("IMPORTRANGE(""https://docs.google.com/spreadsheets/d/1SX6NBoVAgQJ6U1MVXOaj8PK2l7WJ3RER9xtqwdhxkhw/edit?usp=sharing"",""ราชบุรี!M279"")"),0)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IFERROR(__xludf.DUMMYFUNCTION("IMPORTRANGE(""https://docs.google.com/spreadsheets/d/1SX6NBoVAgQJ6U1MVXOaj8PK2l7WJ3RER9xtqwdhxkhw/edit?usp=sharing"",""ราชบุรี!L280"")"),1028520)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IFERROR(__xludf.DUMMYFUNCTION("IMPORTRANGE(""https://docs.google.com/spreadsheets/d/1SX6NBoVAgQJ6U1MVXOaj8PK2l7WJ3RER9xtqwdhxkhw/edit?usp=sharing"",""ราชบุรี!M280"")"),241270.18)</f>
        <v>241270.18</v>
      </c>
      <c r="O385" s="170">
        <f t="shared" ca="1" si="109"/>
        <v>23.457995955353322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IFERROR(__xludf.DUMMYFUNCTION("IMPORTRANGE(""https://docs.google.com/spreadsheets/d/1SX6NBoVAgQJ6U1MVXOaj8PK2l7WJ3RER9xtqwdhxkhw/edit?usp=sharing"",""ราชบุรี!M281"")"),177750)</f>
        <v>177750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IFERROR(__xludf.DUMMYFUNCTION("IMPORTRANGE(""https://docs.google.com/spreadsheets/d/1SX6NBoVAgQJ6U1MVXOaj8PK2l7WJ3RER9xtqwdhxkhw/edit?usp=sharing"",""ราชบุรี!M283"")"),39200)</f>
        <v>39200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IFERROR(__xludf.DUMMYFUNCTION("IMPORTRANGE(""https://docs.google.com/spreadsheets/d/1SX6NBoVAgQJ6U1MVXOaj8PK2l7WJ3RER9xtqwdhxkhw/edit?usp=sharing"",""ราชบุรี!M284"")"),24320.18)</f>
        <v>24320.18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IFERROR(__xludf.DUMMYFUNCTION("IMPORTRANGE(""https://docs.google.com/spreadsheets/d/1SX6NBoVAgQJ6U1MVXOaj8PK2l7WJ3RER9xtqwdhxkhw/edit?usp=sharing"",""ราชบุรี!J286"")"),0)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IFERROR(__xludf.DUMMYFUNCTION("IMPORTRANGE(""https://docs.google.com/spreadsheets/d/1SX6NBoVAgQJ6U1MVXOaj8PK2l7WJ3RER9xtqwdhxkhw/edit?usp=sharing"",""ราชบุรี!J287"")"),1)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IFERROR(__xludf.DUMMYFUNCTION("IMPORTRANGE(""https://docs.google.com/spreadsheets/d/1SX6NBoVAgQJ6U1MVXOaj8PK2l7WJ3RER9xtqwdhxkhw/edit?usp=sharing"",""ราชบุรี!J288"")"),1)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IFERROR(__xludf.DUMMYFUNCTION("IMPORTRANGE(""https://docs.google.com/spreadsheets/d/1SX6NBoVAgQJ6U1MVXOaj8PK2l7WJ3RER9xtqwdhxkhw/edit?usp=sharing"",""ราชบุรี!J289"")"),1)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IFERROR(__xludf.DUMMYFUNCTION("IMPORTRANGE(""https://docs.google.com/spreadsheets/d/1SX6NBoVAgQJ6U1MVXOaj8PK2l7WJ3RER9xtqwdhxkhw/edit?usp=sharing"",""ราชบุรี!I291"")"),100)</f>
        <v>100</v>
      </c>
      <c r="J396" s="199">
        <f ca="1">IFERROR(__xludf.DUMMYFUNCTION("IMPORTRANGE(""https://docs.google.com/spreadsheets/d/1SX6NBoVAgQJ6U1MVXOaj8PK2l7WJ3RER9xtqwdhxkhw/edit?usp=sharing"",""ราชบุรี!J291"")"),100)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IFERROR(__xludf.DUMMYFUNCTION("IMPORTRANGE(""https://docs.google.com/spreadsheets/d/1SX6NBoVAgQJ6U1MVXOaj8PK2l7WJ3RER9xtqwdhxkhw/edit?usp=sharing"",""ราชบุรี!I292"")"),1000)</f>
        <v>1000</v>
      </c>
      <c r="J397" s="199">
        <f ca="1">IFERROR(__xludf.DUMMYFUNCTION("IMPORTRANGE(""https://docs.google.com/spreadsheets/d/1SX6NBoVAgQJ6U1MVXOaj8PK2l7WJ3RER9xtqwdhxkhw/edit?usp=sharing"",""ราชบุรี!J292"")"),0)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IFERROR(__xludf.DUMMYFUNCTION("IMPORTRANGE(""https://docs.google.com/spreadsheets/d/1SX6NBoVAgQJ6U1MVXOaj8PK2l7WJ3RER9xtqwdhxkhw/edit?usp=sharing"",""ราชบุรี!I293"")"),100)</f>
        <v>100</v>
      </c>
      <c r="J398" s="199">
        <f ca="1">IFERROR(__xludf.DUMMYFUNCTION("IMPORTRANGE(""https://docs.google.com/spreadsheets/d/1SX6NBoVAgQJ6U1MVXOaj8PK2l7WJ3RER9xtqwdhxkhw/edit?usp=sharing"",""ราชบุรี!J293"")"),0)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IFERROR(__xludf.DUMMYFUNCTION("IMPORTRANGE(""https://docs.google.com/spreadsheets/d/1SX6NBoVAgQJ6U1MVXOaj8PK2l7WJ3RER9xtqwdhxkhw/edit?usp=sharing"",""ราชบุรี!J294"")"),0)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IFERROR(__xludf.DUMMYFUNCTION("IMPORTRANGE(""https://docs.google.com/spreadsheets/d/1SX6NBoVAgQJ6U1MVXOaj8PK2l7WJ3RER9xtqwdhxkhw/edit?usp=sharing"",""ราชบุรี!J295"")"),0)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IFERROR(__xludf.DUMMYFUNCTION("IMPORTRANGE(""https://docs.google.com/spreadsheets/d/1SX6NBoVAgQJ6U1MVXOaj8PK2l7WJ3RER9xtqwdhxkhw/edit?usp=sharing"",""ราชบุรี!J296"")"),105)</f>
        <v>105</v>
      </c>
      <c r="K401" s="372">
        <f t="shared" ref="K401:K402" ca="1" si="111">IF(I401&gt;0,J401*100/I401,0)</f>
        <v>53.846153846153847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IFERROR(__xludf.DUMMYFUNCTION("IMPORTRANGE(""https://docs.google.com/spreadsheets/d/1SX6NBoVAgQJ6U1MVXOaj8PK2l7WJ3RER9xtqwdhxkhw/edit?usp=sharing"",""ราชบุรี!M296"")"),49306)</f>
        <v>49306</v>
      </c>
      <c r="O401" s="373">
        <f ca="1">+IF(L401&gt;0,N401*100/L401,0)</f>
        <v>21.76577053811857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IFERROR(__xludf.DUMMYFUNCTION("IMPORTRANGE(""https://docs.google.com/spreadsheets/d/1SX6NBoVAgQJ6U1MVXOaj8PK2l7WJ3RER9xtqwdhxkhw/edit?usp=sharing"",""ราชบุรี!J297"")"),35)</f>
        <v>35</v>
      </c>
      <c r="K402" s="372">
        <f t="shared" ca="1" si="111"/>
        <v>53.846153846153847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IFERROR(__xludf.DUMMYFUNCTION("IMPORTRANGE(""https://docs.google.com/spreadsheets/d/1SX6NBoVAgQJ6U1MVXOaj8PK2l7WJ3RER9xtqwdhxkhw/edit?usp=sharing"",""ราชบุรี!L298"")"),0)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IFERROR(__xludf.DUMMYFUNCTION("IMPORTRANGE(""https://docs.google.com/spreadsheets/d/1SX6NBoVAgQJ6U1MVXOaj8PK2l7WJ3RER9xtqwdhxkhw/edit?usp=sharing"",""ราชบุรี!M298"")"),0)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IFERROR(__xludf.DUMMYFUNCTION("IMPORTRANGE(""https://docs.google.com/spreadsheets/d/1SX6NBoVAgQJ6U1MVXOaj8PK2l7WJ3RER9xtqwdhxkhw/edit?usp=sharing"",""ราชบุรี!L299"")"),226530)</f>
        <v>226530</v>
      </c>
      <c r="M404" s="167"/>
      <c r="N404" s="170">
        <f ca="1">IFERROR(__xludf.DUMMYFUNCTION("IMPORTRANGE(""https://docs.google.com/spreadsheets/d/1SX6NBoVAgQJ6U1MVXOaj8PK2l7WJ3RER9xtqwdhxkhw/edit?usp=sharing"",""ราชบุรี!M299"")"),49306)</f>
        <v>49306</v>
      </c>
      <c r="O404" s="170">
        <f t="shared" ca="1" si="112"/>
        <v>21.76577053811857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IFERROR(__xludf.DUMMYFUNCTION("IMPORTRANGE(""https://docs.google.com/spreadsheets/d/1SX6NBoVAgQJ6U1MVXOaj8PK2l7WJ3RER9xtqwdhxkhw/edit?usp=sharing"",""ราชบุรี!L300"")"),0)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IFERROR(__xludf.DUMMYFUNCTION("IMPORTRANGE(""https://docs.google.com/spreadsheets/d/1SX6NBoVAgQJ6U1MVXOaj8PK2l7WJ3RER9xtqwdhxkhw/edit?usp=sharing"",""ราชบุรี!M300"")"),0)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IFERROR(__xludf.DUMMYFUNCTION("IMPORTRANGE(""https://docs.google.com/spreadsheets/d/1SX6NBoVAgQJ6U1MVXOaj8PK2l7WJ3RER9xtqwdhxkhw/edit?usp=sharing"",""ราชบุรี!L301"")"),226530)</f>
        <v>226530</v>
      </c>
      <c r="M406" s="170"/>
      <c r="N406" s="170">
        <f ca="1">IFERROR(__xludf.DUMMYFUNCTION("IMPORTRANGE(""https://docs.google.com/spreadsheets/d/1SX6NBoVAgQJ6U1MVXOaj8PK2l7WJ3RER9xtqwdhxkhw/edit?usp=sharing"",""ราชบุรี!M301"")"),49306)</f>
        <v>49306</v>
      </c>
      <c r="O406" s="170">
        <f t="shared" ca="1" si="112"/>
        <v>21.76577053811857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IFERROR(__xludf.DUMMYFUNCTION("IMPORTRANGE(""https://docs.google.com/spreadsheets/d/1SX6NBoVAgQJ6U1MVXOaj8PK2l7WJ3RER9xtqwdhxkhw/edit?usp=sharing"",""ราชบุรี!M302"")"),31400)</f>
        <v>31400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IFERROR(__xludf.DUMMYFUNCTION("IMPORTRANGE(""https://docs.google.com/spreadsheets/d/1SX6NBoVAgQJ6U1MVXOaj8PK2l7WJ3RER9xtqwdhxkhw/edit?usp=sharing"",""ราชบุรี!M303"")"),0)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IFERROR(__xludf.DUMMYFUNCTION("IMPORTRANGE(""https://docs.google.com/spreadsheets/d/1SX6NBoVAgQJ6U1MVXOaj8PK2l7WJ3RER9xtqwdhxkhw/edit?usp=sharing"",""ราชบุรี!M305"")"),17906)</f>
        <v>17906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IFERROR(__xludf.DUMMYFUNCTION("IMPORTRANGE(""https://docs.google.com/spreadsheets/d/1SX6NBoVAgQJ6U1MVXOaj8PK2l7WJ3RER9xtqwdhxkhw/edit?usp=sharing"",""ราชบุรี!J307"")"),0)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IFERROR(__xludf.DUMMYFUNCTION("IMPORTRANGE(""https://docs.google.com/spreadsheets/d/1SX6NBoVAgQJ6U1MVXOaj8PK2l7WJ3RER9xtqwdhxkhw/edit?usp=sharing"",""ราชบุรี!J308"")"),1)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IFERROR(__xludf.DUMMYFUNCTION("IMPORTRANGE(""https://docs.google.com/spreadsheets/d/1SX6NBoVAgQJ6U1MVXOaj8PK2l7WJ3RER9xtqwdhxkhw/edit?usp=sharing"",""ราชบุรี!J309"")"),1)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IFERROR(__xludf.DUMMYFUNCTION("IMPORTRANGE(""https://docs.google.com/spreadsheets/d/1SX6NBoVAgQJ6U1MVXOaj8PK2l7WJ3RER9xtqwdhxkhw/edit?usp=sharing"",""ราชบุรี!J310"")"),1)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IFERROR(__xludf.DUMMYFUNCTION("IMPORTRANGE(""https://docs.google.com/spreadsheets/d/1SX6NBoVAgQJ6U1MVXOaj8PK2l7WJ3RER9xtqwdhxkhw/edit?usp=sharing"",""ราชบุรี!I311"")"),65)</f>
        <v>65</v>
      </c>
      <c r="J416" s="202">
        <f ca="1">IFERROR(__xludf.DUMMYFUNCTION("IMPORTRANGE(""https://docs.google.com/spreadsheets/d/1SX6NBoVAgQJ6U1MVXOaj8PK2l7WJ3RER9xtqwdhxkhw/edit?usp=sharing"",""ราชบุรี!J311"")"),35)</f>
        <v>35</v>
      </c>
      <c r="K416" s="203">
        <f t="shared" ref="K416:K432" ca="1" si="113">IF(I416&gt;0,J416*100/I416,0)</f>
        <v>53.846153846153847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IFERROR(__xludf.DUMMYFUNCTION("IMPORTRANGE(""https://docs.google.com/spreadsheets/d/1SX6NBoVAgQJ6U1MVXOaj8PK2l7WJ3RER9xtqwdhxkhw/edit?usp=sharing"",""ราชบุรี!J328"")"),0)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IFERROR(__xludf.DUMMYFUNCTION("IMPORTRANGE(""https://docs.google.com/spreadsheets/d/1SX6NBoVAgQJ6U1MVXOaj8PK2l7WJ3RER9xtqwdhxkhw/edit?usp=sharing"",""ราชบุรี!J329"")"),0)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IFERROR(__xludf.DUMMYFUNCTION("IMPORTRANGE(""https://docs.google.com/spreadsheets/d/1SX6NBoVAgQJ6U1MVXOaj8PK2l7WJ3RER9xtqwdhxkhw/edit?usp=sharing"",""ราชบุรี!M330"")"),5438.38)</f>
        <v>5438.38</v>
      </c>
      <c r="O435" s="412">
        <f t="shared" ref="O435:O439" ca="1" si="114">+IF(L435&gt;0,N435*100/L435,0)</f>
        <v>5.4383800000000004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IFERROR(__xludf.DUMMYFUNCTION("IMPORTRANGE(""https://docs.google.com/spreadsheets/d/1SX6NBoVAgQJ6U1MVXOaj8PK2l7WJ3RER9xtqwdhxkhw/edit?usp=sharing"",""ราชบุรี!L331"")"),0)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IFERROR(__xludf.DUMMYFUNCTION("IMPORTRANGE(""https://docs.google.com/spreadsheets/d/1SX6NBoVAgQJ6U1MVXOaj8PK2l7WJ3RER9xtqwdhxkhw/edit?usp=sharing"",""ราชบุรี!M331"")"),0)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IFERROR(__xludf.DUMMYFUNCTION("IMPORTRANGE(""https://docs.google.com/spreadsheets/d/1SX6NBoVAgQJ6U1MVXOaj8PK2l7WJ3RER9xtqwdhxkhw/edit?usp=sharing"",""ราชบุรี!L332"")"),100000)</f>
        <v>100000</v>
      </c>
      <c r="M437" s="167"/>
      <c r="N437" s="170">
        <f ca="1">IFERROR(__xludf.DUMMYFUNCTION("IMPORTRANGE(""https://docs.google.com/spreadsheets/d/1SX6NBoVAgQJ6U1MVXOaj8PK2l7WJ3RER9xtqwdhxkhw/edit?usp=sharing"",""ราชบุรี!M332"")"),5438.38)</f>
        <v>5438.38</v>
      </c>
      <c r="O437" s="170">
        <f t="shared" ca="1" si="114"/>
        <v>5.4383800000000004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IFERROR(__xludf.DUMMYFUNCTION("IMPORTRANGE(""https://docs.google.com/spreadsheets/d/1SX6NBoVAgQJ6U1MVXOaj8PK2l7WJ3RER9xtqwdhxkhw/edit?usp=sharing"",""ราชบุรี!L333"")"),0)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IFERROR(__xludf.DUMMYFUNCTION("IMPORTRANGE(""https://docs.google.com/spreadsheets/d/1SX6NBoVAgQJ6U1MVXOaj8PK2l7WJ3RER9xtqwdhxkhw/edit?usp=sharing"",""ราชบุรี!M333"")"),0)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IFERROR(__xludf.DUMMYFUNCTION("IMPORTRANGE(""https://docs.google.com/spreadsheets/d/1SX6NBoVAgQJ6U1MVXOaj8PK2l7WJ3RER9xtqwdhxkhw/edit?usp=sharing"",""ราชบุรี!L334"")"),100000)</f>
        <v>100000</v>
      </c>
      <c r="M439" s="170"/>
      <c r="N439" s="170">
        <f ca="1">IFERROR(__xludf.DUMMYFUNCTION("IMPORTRANGE(""https://docs.google.com/spreadsheets/d/1SX6NBoVAgQJ6U1MVXOaj8PK2l7WJ3RER9xtqwdhxkhw/edit?usp=sharing"",""ราชบุรี!M334"")"),5438.38)</f>
        <v>5438.38</v>
      </c>
      <c r="O439" s="170">
        <f t="shared" ca="1" si="114"/>
        <v>5.4383800000000004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IFERROR(__xludf.DUMMYFUNCTION("IMPORTRANGE(""https://docs.google.com/spreadsheets/d/1SX6NBoVAgQJ6U1MVXOaj8PK2l7WJ3RER9xtqwdhxkhw/edit?usp=sharing"",""ราชบุรี!M335"")"),0)</f>
        <v>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IFERROR(__xludf.DUMMYFUNCTION("IMPORTRANGE(""https://docs.google.com/spreadsheets/d/1SX6NBoVAgQJ6U1MVXOaj8PK2l7WJ3RER9xtqwdhxkhw/edit?usp=sharing"",""ราชบุรี!M338"")"),5438.38)</f>
        <v>5438.38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IFERROR(__xludf.DUMMYFUNCTION("IMPORTRANGE(""https://docs.google.com/spreadsheets/d/1SX6NBoVAgQJ6U1MVXOaj8PK2l7WJ3RER9xtqwdhxkhw/edit?usp=sharing"",""ราชบุรี!J342"")"),1)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IFERROR(__xludf.DUMMYFUNCTION("IMPORTRANGE(""https://docs.google.com/spreadsheets/d/1SX6NBoVAgQJ6U1MVXOaj8PK2l7WJ3RER9xtqwdhxkhw/edit?usp=sharing"",""ราชบุรี!J343"")"),1)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2">
        <f ca="1">IFERROR(__xludf.DUMMYFUNCTION("IMPORTRANGE(""https://docs.google.com/spreadsheets/d/1SX6NBoVAgQJ6U1MVXOaj8PK2l7WJ3RER9xtqwdhxkhw/edit?usp=sharing"",""ราชบุรี!J344"")"),0)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IFERROR(__xludf.DUMMYFUNCTION("IMPORTRANGE(""https://docs.google.com/spreadsheets/d/1SX6NBoVAgQJ6U1MVXOaj8PK2l7WJ3RER9xtqwdhxkhw/edit?usp=sharing"",""ราชบุรี!I345"")"),20)</f>
        <v>20</v>
      </c>
      <c r="J450" s="190">
        <f ca="1">IFERROR(__xludf.DUMMYFUNCTION("IMPORTRANGE(""https://docs.google.com/spreadsheets/d/1SX6NBoVAgQJ6U1MVXOaj8PK2l7WJ3RER9xtqwdhxkhw/edit?usp=sharing"",""ราชบุรี!J345"")"),0)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IFERROR(__xludf.DUMMYFUNCTION("IMPORTRANGE(""https://docs.google.com/spreadsheets/d/1SX6NBoVAgQJ6U1MVXOaj8PK2l7WJ3RER9xtqwdhxkhw/edit?usp=sharing"",""ราชบุรี!I346"")"),0)</f>
        <v>0</v>
      </c>
      <c r="J451" s="189">
        <f ca="1">IFERROR(__xludf.DUMMYFUNCTION("IMPORTRANGE(""https://docs.google.com/spreadsheets/d/1SX6NBoVAgQJ6U1MVXOaj8PK2l7WJ3RER9xtqwdhxkhw/edit?usp=sharing"",""ราชบุรี!J346"")"),0)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IFERROR(__xludf.DUMMYFUNCTION("IMPORTRANGE(""https://docs.google.com/spreadsheets/d/1SX6NBoVAgQJ6U1MVXOaj8PK2l7WJ3RER9xtqwdhxkhw/edit?usp=sharing"",""ราชบุรี!I347"")"),0)</f>
        <v>0</v>
      </c>
      <c r="J452" s="189">
        <f ca="1">IFERROR(__xludf.DUMMYFUNCTION("IMPORTRANGE(""https://docs.google.com/spreadsheets/d/1SX6NBoVAgQJ6U1MVXOaj8PK2l7WJ3RER9xtqwdhxkhw/edit?usp=sharing"",""ราชบุรี!J347"")"),0)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IFERROR(__xludf.DUMMYFUNCTION("IMPORTRANGE(""https://docs.google.com/spreadsheets/d/1SX6NBoVAgQJ6U1MVXOaj8PK2l7WJ3RER9xtqwdhxkhw/edit?usp=sharing"",""ราชบุรี!J348"")"),0)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IFERROR(__xludf.DUMMYFUNCTION("IMPORTRANGE(""https://docs.google.com/spreadsheets/d/1SX6NBoVAgQJ6U1MVXOaj8PK2l7WJ3RER9xtqwdhxkhw/edit?usp=sharing"",""ราชบุรี!J349"")"),0)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IFERROR(__xludf.DUMMYFUNCTION("IMPORTRANGE(""https://docs.google.com/spreadsheets/d/1SX6NBoVAgQJ6U1MVXOaj8PK2l7WJ3RER9xtqwdhxkhw/edit?usp=sharing"",""ราชบุรี!L350"")"),79312)</f>
        <v>79312</v>
      </c>
      <c r="M455" s="373"/>
      <c r="N455" s="373">
        <f ca="1">IFERROR(__xludf.DUMMYFUNCTION("IMPORTRANGE(""https://docs.google.com/spreadsheets/d/1SX6NBoVAgQJ6U1MVXOaj8PK2l7WJ3RER9xtqwdhxkhw/edit?usp=sharing"",""ราชบุรี!M350"")"),23834.54)</f>
        <v>23834.54</v>
      </c>
      <c r="O455" s="373">
        <f t="shared" ref="O455:O459" ca="1" si="116">+IF(L455&gt;0,N455*100/L455,0)</f>
        <v>30.051618922735525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IFERROR(__xludf.DUMMYFUNCTION("IMPORTRANGE(""https://docs.google.com/spreadsheets/d/1SX6NBoVAgQJ6U1MVXOaj8PK2l7WJ3RER9xtqwdhxkhw/edit?usp=sharing"",""ราชบุรี!L351"")"),0)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IFERROR(__xludf.DUMMYFUNCTION("IMPORTRANGE(""https://docs.google.com/spreadsheets/d/1SX6NBoVAgQJ6U1MVXOaj8PK2l7WJ3RER9xtqwdhxkhw/edit?usp=sharing"",""ราชบุรี!M351"")"),0)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IFERROR(__xludf.DUMMYFUNCTION("IMPORTRANGE(""https://docs.google.com/spreadsheets/d/1SX6NBoVAgQJ6U1MVXOaj8PK2l7WJ3RER9xtqwdhxkhw/edit?usp=sharing"",""ราชบุรี!L352"")"),79312)</f>
        <v>79312</v>
      </c>
      <c r="M457" s="167"/>
      <c r="N457" s="170">
        <f ca="1">IFERROR(__xludf.DUMMYFUNCTION("IMPORTRANGE(""https://docs.google.com/spreadsheets/d/1SX6NBoVAgQJ6U1MVXOaj8PK2l7WJ3RER9xtqwdhxkhw/edit?usp=sharing"",""ราชบุรี!M352"")"),23834.54)</f>
        <v>23834.54</v>
      </c>
      <c r="O457" s="170">
        <f t="shared" ca="1" si="116"/>
        <v>30.051618922735525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IFERROR(__xludf.DUMMYFUNCTION("IMPORTRANGE(""https://docs.google.com/spreadsheets/d/1SX6NBoVAgQJ6U1MVXOaj8PK2l7WJ3RER9xtqwdhxkhw/edit?usp=sharing"",""ราชบุรี!L353"")"),0)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IFERROR(__xludf.DUMMYFUNCTION("IMPORTRANGE(""https://docs.google.com/spreadsheets/d/1SX6NBoVAgQJ6U1MVXOaj8PK2l7WJ3RER9xtqwdhxkhw/edit?usp=sharing"",""ราชบุรี!M353"")"),0)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IFERROR(__xludf.DUMMYFUNCTION("IMPORTRANGE(""https://docs.google.com/spreadsheets/d/1SX6NBoVAgQJ6U1MVXOaj8PK2l7WJ3RER9xtqwdhxkhw/edit?usp=sharing"",""ราชบุรี!L354"")"),79312)</f>
        <v>79312</v>
      </c>
      <c r="M459" s="170"/>
      <c r="N459" s="170">
        <f ca="1">IFERROR(__xludf.DUMMYFUNCTION("IMPORTRANGE(""https://docs.google.com/spreadsheets/d/1SX6NBoVAgQJ6U1MVXOaj8PK2l7WJ3RER9xtqwdhxkhw/edit?usp=sharing"",""ราชบุรี!M354"")"),23834.54)</f>
        <v>23834.54</v>
      </c>
      <c r="O459" s="170">
        <f t="shared" ca="1" si="116"/>
        <v>30.051618922735525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IFERROR(__xludf.DUMMYFUNCTION("IMPORTRANGE(""https://docs.google.com/spreadsheets/d/1SX6NBoVAgQJ6U1MVXOaj8PK2l7WJ3RER9xtqwdhxkhw/edit?usp=sharing"",""ราชบุรี!M355"")"),0)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IFERROR(__xludf.DUMMYFUNCTION("IMPORTRANGE(""https://docs.google.com/spreadsheets/d/1SX6NBoVAgQJ6U1MVXOaj8PK2l7WJ3RER9xtqwdhxkhw/edit?usp=sharing"",""ราชบุรี!M356"")"),0)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IFERROR(__xludf.DUMMYFUNCTION("IMPORTRANGE(""https://docs.google.com/spreadsheets/d/1SX6NBoVAgQJ6U1MVXOaj8PK2l7WJ3RER9xtqwdhxkhw/edit?usp=sharing"",""ราชบุรี!M358"")"),23834.54)</f>
        <v>23834.54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IFERROR(__xludf.DUMMYFUNCTION("IMPORTRANGE(""https://docs.google.com/spreadsheets/d/1SX6NBoVAgQJ6U1MVXOaj8PK2l7WJ3RER9xtqwdhxkhw/edit?usp=sharing"",""ราชบุรี!I362"")"),0)</f>
        <v>0</v>
      </c>
      <c r="J467" s="190">
        <f ca="1">IFERROR(__xludf.DUMMYFUNCTION("IMPORTRANGE(""https://docs.google.com/spreadsheets/d/1SX6NBoVAgQJ6U1MVXOaj8PK2l7WJ3RER9xtqwdhxkhw/edit?usp=sharing"",""ราชบุรี!J362"")"),0)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IFERROR(__xludf.DUMMYFUNCTION("IMPORTRANGE(""https://docs.google.com/spreadsheets/d/1SX6NBoVAgQJ6U1MVXOaj8PK2l7WJ3RER9xtqwdhxkhw/edit?usp=sharing"",""ราชบุรี!I363"")"),0)</f>
        <v>0</v>
      </c>
      <c r="J468" s="190">
        <f ca="1">IFERROR(__xludf.DUMMYFUNCTION("IMPORTRANGE(""https://docs.google.com/spreadsheets/d/1SX6NBoVAgQJ6U1MVXOaj8PK2l7WJ3RER9xtqwdhxkhw/edit?usp=sharing"",""ราชบุรี!J363"")"),0)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IFERROR(__xludf.DUMMYFUNCTION("IMPORTRANGE(""https://docs.google.com/spreadsheets/d/1SX6NBoVAgQJ6U1MVXOaj8PK2l7WJ3RER9xtqwdhxkhw/edit?usp=sharing"",""ราชบุรี!I364"")"),0)</f>
        <v>0</v>
      </c>
      <c r="J469" s="190">
        <f ca="1">IFERROR(__xludf.DUMMYFUNCTION("IMPORTRANGE(""https://docs.google.com/spreadsheets/d/1SX6NBoVAgQJ6U1MVXOaj8PK2l7WJ3RER9xtqwdhxkhw/edit?usp=sharing"",""ราชบุรี!J364"")"),0)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IFERROR(__xludf.DUMMYFUNCTION("IMPORTRANGE(""https://docs.google.com/spreadsheets/d/1SX6NBoVAgQJ6U1MVXOaj8PK2l7WJ3RER9xtqwdhxkhw/edit?usp=sharing"",""ราชบุรี!I365"")"),0)</f>
        <v>0</v>
      </c>
      <c r="J470" s="190">
        <f ca="1">IFERROR(__xludf.DUMMYFUNCTION("IMPORTRANGE(""https://docs.google.com/spreadsheets/d/1SX6NBoVAgQJ6U1MVXOaj8PK2l7WJ3RER9xtqwdhxkhw/edit?usp=sharing"",""ราชบุรี!J365"")"),0)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IFERROR(__xludf.DUMMYFUNCTION("IMPORTRANGE(""https://docs.google.com/spreadsheets/d/1SX6NBoVAgQJ6U1MVXOaj8PK2l7WJ3RER9xtqwdhxkhw/edit?usp=sharing"",""ราชบุรี!I366"")"),0)</f>
        <v>0</v>
      </c>
      <c r="J471" s="190">
        <f ca="1">IFERROR(__xludf.DUMMYFUNCTION("IMPORTRANGE(""https://docs.google.com/spreadsheets/d/1SX6NBoVAgQJ6U1MVXOaj8PK2l7WJ3RER9xtqwdhxkhw/edit?usp=sharing"",""ราชบุรี!J366"")"),0)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IFERROR(__xludf.DUMMYFUNCTION("IMPORTRANGE(""https://docs.google.com/spreadsheets/d/1SX6NBoVAgQJ6U1MVXOaj8PK2l7WJ3RER9xtqwdhxkhw/edit?usp=sharing"",""ราชบุรี!I367"")"),0)</f>
        <v>0</v>
      </c>
      <c r="J472" s="190">
        <f ca="1">IFERROR(__xludf.DUMMYFUNCTION("IMPORTRANGE(""https://docs.google.com/spreadsheets/d/1SX6NBoVAgQJ6U1MVXOaj8PK2l7WJ3RER9xtqwdhxkhw/edit?usp=sharing"",""ราชบุรี!J367"")"),0)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IFERROR(__xludf.DUMMYFUNCTION("IMPORTRANGE(""https://docs.google.com/spreadsheets/d/1SX6NBoVAgQJ6U1MVXOaj8PK2l7WJ3RER9xtqwdhxkhw/edit?usp=sharing"",""ราชบุรี!I370"")"),0)</f>
        <v>0</v>
      </c>
      <c r="J475" s="190">
        <f ca="1">IFERROR(__xludf.DUMMYFUNCTION("IMPORTRANGE(""https://docs.google.com/spreadsheets/d/1SX6NBoVAgQJ6U1MVXOaj8PK2l7WJ3RER9xtqwdhxkhw/edit?usp=sharing"",""ราชบุรี!J370"")"),0)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IFERROR(__xludf.DUMMYFUNCTION("IMPORTRANGE(""https://docs.google.com/spreadsheets/d/1SX6NBoVAgQJ6U1MVXOaj8PK2l7WJ3RER9xtqwdhxkhw/edit?usp=sharing"",""ราชบุรี!I371"")"),0)</f>
        <v>0</v>
      </c>
      <c r="J476" s="190">
        <f ca="1">IFERROR(__xludf.DUMMYFUNCTION("IMPORTRANGE(""https://docs.google.com/spreadsheets/d/1SX6NBoVAgQJ6U1MVXOaj8PK2l7WJ3RER9xtqwdhxkhw/edit?usp=sharing"",""ราชบุรี!J371"")"),0)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IFERROR(__xludf.DUMMYFUNCTION("IMPORTRANGE(""https://docs.google.com/spreadsheets/d/1SX6NBoVAgQJ6U1MVXOaj8PK2l7WJ3RER9xtqwdhxkhw/edit?usp=sharing"",""ราชบุรี!I372"")"),0)</f>
        <v>0</v>
      </c>
      <c r="J477" s="190">
        <f ca="1">IFERROR(__xludf.DUMMYFUNCTION("IMPORTRANGE(""https://docs.google.com/spreadsheets/d/1SX6NBoVAgQJ6U1MVXOaj8PK2l7WJ3RER9xtqwdhxkhw/edit?usp=sharing"",""ราชบุรี!J372"")"),0)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IFERROR(__xludf.DUMMYFUNCTION("IMPORTRANGE(""https://docs.google.com/spreadsheets/d/1SX6NBoVAgQJ6U1MVXOaj8PK2l7WJ3RER9xtqwdhxkhw/edit?usp=sharing"",""ราชบุรี!I373"")"),0)</f>
        <v>0</v>
      </c>
      <c r="J478" s="190">
        <f ca="1">IFERROR(__xludf.DUMMYFUNCTION("IMPORTRANGE(""https://docs.google.com/spreadsheets/d/1SX6NBoVAgQJ6U1MVXOaj8PK2l7WJ3RER9xtqwdhxkhw/edit?usp=sharing"",""ราชบุรี!J373"")"),0)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IFERROR(__xludf.DUMMYFUNCTION("IMPORTRANGE(""https://docs.google.com/spreadsheets/d/1SX6NBoVAgQJ6U1MVXOaj8PK2l7WJ3RER9xtqwdhxkhw/edit?usp=sharing"",""ราชบุรี!I374"")"),0)</f>
        <v>0</v>
      </c>
      <c r="J479" s="190">
        <f ca="1">IFERROR(__xludf.DUMMYFUNCTION("IMPORTRANGE(""https://docs.google.com/spreadsheets/d/1SX6NBoVAgQJ6U1MVXOaj8PK2l7WJ3RER9xtqwdhxkhw/edit?usp=sharing"",""ราชบุรี!J374"")"),0)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IFERROR(__xludf.DUMMYFUNCTION("IMPORTRANGE(""https://docs.google.com/spreadsheets/d/1SX6NBoVAgQJ6U1MVXOaj8PK2l7WJ3RER9xtqwdhxkhw/edit?usp=sharing"",""ราชบุรี!I375"")"),0)</f>
        <v>0</v>
      </c>
      <c r="J480" s="190">
        <f ca="1">IFERROR(__xludf.DUMMYFUNCTION("IMPORTRANGE(""https://docs.google.com/spreadsheets/d/1SX6NBoVAgQJ6U1MVXOaj8PK2l7WJ3RER9xtqwdhxkhw/edit?usp=sharing"",""ราชบุรี!J375"")"),0)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IFERROR(__xludf.DUMMYFUNCTION("IMPORTRANGE(""https://docs.google.com/spreadsheets/d/1SX6NBoVAgQJ6U1MVXOaj8PK2l7WJ3RER9xtqwdhxkhw/edit?usp=sharing"",""ราชบุรี!I378"")"),0)</f>
        <v>0</v>
      </c>
      <c r="J483" s="190">
        <f ca="1">IFERROR(__xludf.DUMMYFUNCTION("IMPORTRANGE(""https://docs.google.com/spreadsheets/d/1SX6NBoVAgQJ6U1MVXOaj8PK2l7WJ3RER9xtqwdhxkhw/edit?usp=sharing"",""ราชบุรี!J378"")"),0)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IFERROR(__xludf.DUMMYFUNCTION("IMPORTRANGE(""https://docs.google.com/spreadsheets/d/1SX6NBoVAgQJ6U1MVXOaj8PK2l7WJ3RER9xtqwdhxkhw/edit?usp=sharing"",""ราชบุรี!I379"")"),0)</f>
        <v>0</v>
      </c>
      <c r="J484" s="190">
        <f ca="1">IFERROR(__xludf.DUMMYFUNCTION("IMPORTRANGE(""https://docs.google.com/spreadsheets/d/1SX6NBoVAgQJ6U1MVXOaj8PK2l7WJ3RER9xtqwdhxkhw/edit?usp=sharing"",""ราชบุรี!J379"")"),0)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IFERROR(__xludf.DUMMYFUNCTION("IMPORTRANGE(""https://docs.google.com/spreadsheets/d/1SX6NBoVAgQJ6U1MVXOaj8PK2l7WJ3RER9xtqwdhxkhw/edit?usp=sharing"",""ราชบุรี!I380"")"),0)</f>
        <v>0</v>
      </c>
      <c r="J485" s="190">
        <f ca="1">IFERROR(__xludf.DUMMYFUNCTION("IMPORTRANGE(""https://docs.google.com/spreadsheets/d/1SX6NBoVAgQJ6U1MVXOaj8PK2l7WJ3RER9xtqwdhxkhw/edit?usp=sharing"",""ราชบุรี!J380"")"),0)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IFERROR(__xludf.DUMMYFUNCTION("IMPORTRANGE(""https://docs.google.com/spreadsheets/d/1SX6NBoVAgQJ6U1MVXOaj8PK2l7WJ3RER9xtqwdhxkhw/edit?usp=sharing"",""ราชบุรี!I381"")"),0)</f>
        <v>0</v>
      </c>
      <c r="J486" s="190">
        <f ca="1">IFERROR(__xludf.DUMMYFUNCTION("IMPORTRANGE(""https://docs.google.com/spreadsheets/d/1SX6NBoVAgQJ6U1MVXOaj8PK2l7WJ3RER9xtqwdhxkhw/edit?usp=sharing"",""ราชบุรี!J381"")"),0)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IFERROR(__xludf.DUMMYFUNCTION("IMPORTRANGE(""https://docs.google.com/spreadsheets/d/1SX6NBoVAgQJ6U1MVXOaj8PK2l7WJ3RER9xtqwdhxkhw/edit?usp=sharing"",""ราชบุรี!I384"")"),0)</f>
        <v>0</v>
      </c>
      <c r="J489" s="190">
        <f ca="1">IFERROR(__xludf.DUMMYFUNCTION("IMPORTRANGE(""https://docs.google.com/spreadsheets/d/1SX6NBoVAgQJ6U1MVXOaj8PK2l7WJ3RER9xtqwdhxkhw/edit?usp=sharing"",""ราชบุรี!J384"")"),0)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IFERROR(__xludf.DUMMYFUNCTION("IMPORTRANGE(""https://docs.google.com/spreadsheets/d/1SX6NBoVAgQJ6U1MVXOaj8PK2l7WJ3RER9xtqwdhxkhw/edit?usp=sharing"",""ราชบุรี!I385"")"),0)</f>
        <v>0</v>
      </c>
      <c r="J490" s="190">
        <f ca="1">IFERROR(__xludf.DUMMYFUNCTION("IMPORTRANGE(""https://docs.google.com/spreadsheets/d/1SX6NBoVAgQJ6U1MVXOaj8PK2l7WJ3RER9xtqwdhxkhw/edit?usp=sharing"",""ราชบุรี!J385"")"),0)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IFERROR(__xludf.DUMMYFUNCTION("IMPORTRANGE(""https://docs.google.com/spreadsheets/d/1SX6NBoVAgQJ6U1MVXOaj8PK2l7WJ3RER9xtqwdhxkhw/edit?usp=sharing"",""ราชบุรี!I386"")"),0)</f>
        <v>0</v>
      </c>
      <c r="J491" s="190">
        <f ca="1">IFERROR(__xludf.DUMMYFUNCTION("IMPORTRANGE(""https://docs.google.com/spreadsheets/d/1SX6NBoVAgQJ6U1MVXOaj8PK2l7WJ3RER9xtqwdhxkhw/edit?usp=sharing"",""ราชบุรี!J386"")"),0)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IFERROR(__xludf.DUMMYFUNCTION("IMPORTRANGE(""https://docs.google.com/spreadsheets/d/1SX6NBoVAgQJ6U1MVXOaj8PK2l7WJ3RER9xtqwdhxkhw/edit?usp=sharing"",""ราชบุรี!I387"")"),0)</f>
        <v>0</v>
      </c>
      <c r="J492" s="190">
        <f ca="1">IFERROR(__xludf.DUMMYFUNCTION("IMPORTRANGE(""https://docs.google.com/spreadsheets/d/1SX6NBoVAgQJ6U1MVXOaj8PK2l7WJ3RER9xtqwdhxkhw/edit?usp=sharing"",""ราชบุรี!J387"")"),0)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IFERROR(__xludf.DUMMYFUNCTION("IMPORTRANGE(""https://docs.google.com/spreadsheets/d/1SX6NBoVAgQJ6U1MVXOaj8PK2l7WJ3RER9xtqwdhxkhw/edit?usp=sharing"",""ราชบุรี!I388"")"),0)</f>
        <v>0</v>
      </c>
      <c r="J493" s="190">
        <f ca="1">IFERROR(__xludf.DUMMYFUNCTION("IMPORTRANGE(""https://docs.google.com/spreadsheets/d/1SX6NBoVAgQJ6U1MVXOaj8PK2l7WJ3RER9xtqwdhxkhw/edit?usp=sharing"",""ราชบุรี!J388"")"),0)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IFERROR(__xludf.DUMMYFUNCTION("IMPORTRANGE(""https://docs.google.com/spreadsheets/d/1SX6NBoVAgQJ6U1MVXOaj8PK2l7WJ3RER9xtqwdhxkhw/edit?usp=sharing"",""ราชบุรี!J392"")"),342)</f>
        <v>342</v>
      </c>
      <c r="K497" s="444">
        <f t="shared" ca="1" si="117"/>
        <v>19.976635514018692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IFERROR(__xludf.DUMMYFUNCTION("IMPORTRANGE(""https://docs.google.com/spreadsheets/d/1SX6NBoVAgQJ6U1MVXOaj8PK2l7WJ3RER9xtqwdhxkhw/edit?usp=sharing"",""ราชบุรี!J393"")"),342)</f>
        <v>342</v>
      </c>
      <c r="K498" s="165">
        <f t="shared" ca="1" si="117"/>
        <v>19.976635514018692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IFERROR(__xludf.DUMMYFUNCTION("IMPORTRANGE(""https://docs.google.com/spreadsheets/d/1SX6NBoVAgQJ6U1MVXOaj8PK2l7WJ3RER9xtqwdhxkhw/edit?usp=sharing"",""ราชบุรี!J394"")"),23)</f>
        <v>23</v>
      </c>
      <c r="K499" s="203">
        <f t="shared" ca="1" si="117"/>
        <v>19.658119658119659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IFERROR(__xludf.DUMMYFUNCTION("IMPORTRANGE(""https://docs.google.com/spreadsheets/d/1SX6NBoVAgQJ6U1MVXOaj8PK2l7WJ3RER9xtqwdhxkhw/edit?usp=sharing"",""ราชบุรี!I395"")"),0)</f>
        <v>0</v>
      </c>
      <c r="J500" s="164">
        <f ca="1">IFERROR(__xludf.DUMMYFUNCTION("IMPORTRANGE(""https://docs.google.com/spreadsheets/d/1SX6NBoVAgQJ6U1MVXOaj8PK2l7WJ3RER9xtqwdhxkhw/edit?usp=sharing"",""ราชบุรี!J395"")"),342)</f>
        <v>342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IFERROR(__xludf.DUMMYFUNCTION("IMPORTRANGE(""https://docs.google.com/spreadsheets/d/1SX6NBoVAgQJ6U1MVXOaj8PK2l7WJ3RER9xtqwdhxkhw/edit?usp=sharing"",""ราชบุรี!I396"")"),0)</f>
        <v>0</v>
      </c>
      <c r="J501" s="164">
        <f ca="1">IFERROR(__xludf.DUMMYFUNCTION("IMPORTRANGE(""https://docs.google.com/spreadsheets/d/1SX6NBoVAgQJ6U1MVXOaj8PK2l7WJ3RER9xtqwdhxkhw/edit?usp=sharing"",""ราชบุรี!J396"")"),23)</f>
        <v>23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IFERROR(__xludf.DUMMYFUNCTION("IMPORTRANGE(""https://docs.google.com/spreadsheets/d/1SX6NBoVAgQJ6U1MVXOaj8PK2l7WJ3RER9xtqwdhxkhw/edit?usp=sharing"",""ราชบุรี!I397"")"),0)</f>
        <v>0</v>
      </c>
      <c r="J502" s="190">
        <f ca="1">IFERROR(__xludf.DUMMYFUNCTION("IMPORTRANGE(""https://docs.google.com/spreadsheets/d/1SX6NBoVAgQJ6U1MVXOaj8PK2l7WJ3RER9xtqwdhxkhw/edit?usp=sharing"",""ราชบุรี!J397"")"),342)</f>
        <v>342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IFERROR(__xludf.DUMMYFUNCTION("IMPORTRANGE(""https://docs.google.com/spreadsheets/d/1SX6NBoVAgQJ6U1MVXOaj8PK2l7WJ3RER9xtqwdhxkhw/edit?usp=sharing"",""ราชบุรี!I398"")"),0)</f>
        <v>0</v>
      </c>
      <c r="J503" s="199">
        <f ca="1">IFERROR(__xludf.DUMMYFUNCTION("IMPORTRANGE(""https://docs.google.com/spreadsheets/d/1SX6NBoVAgQJ6U1MVXOaj8PK2l7WJ3RER9xtqwdhxkhw/edit?usp=sharing"",""ราชบุรี!J398"")"),23)</f>
        <v>23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IFERROR(__xludf.DUMMYFUNCTION("IMPORTRANGE(""https://docs.google.com/spreadsheets/d/1SX6NBoVAgQJ6U1MVXOaj8PK2l7WJ3RER9xtqwdhxkhw/edit?usp=sharing"",""ราชบุรี!I399"")"),0)</f>
        <v>0</v>
      </c>
      <c r="J504" s="190">
        <f ca="1">IFERROR(__xludf.DUMMYFUNCTION("IMPORTRANGE(""https://docs.google.com/spreadsheets/d/1SX6NBoVAgQJ6U1MVXOaj8PK2l7WJ3RER9xtqwdhxkhw/edit?usp=sharing"",""ราชบุรี!J399"")"),0)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IFERROR(__xludf.DUMMYFUNCTION("IMPORTRANGE(""https://docs.google.com/spreadsheets/d/1SX6NBoVAgQJ6U1MVXOaj8PK2l7WJ3RER9xtqwdhxkhw/edit?usp=sharing"",""ราชบุรี!I400"")"),0)</f>
        <v>0</v>
      </c>
      <c r="J505" s="199">
        <f ca="1">IFERROR(__xludf.DUMMYFUNCTION("IMPORTRANGE(""https://docs.google.com/spreadsheets/d/1SX6NBoVAgQJ6U1MVXOaj8PK2l7WJ3RER9xtqwdhxkhw/edit?usp=sharing"",""ราชบุรี!J400"")"),0)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IFERROR(__xludf.DUMMYFUNCTION("IMPORTRANGE(""https://docs.google.com/spreadsheets/d/1SX6NBoVAgQJ6U1MVXOaj8PK2l7WJ3RER9xtqwdhxkhw/edit?usp=sharing"",""ราชบุรี!I401"")"),0)</f>
        <v>0</v>
      </c>
      <c r="J506" s="190">
        <f ca="1">IFERROR(__xludf.DUMMYFUNCTION("IMPORTRANGE(""https://docs.google.com/spreadsheets/d/1SX6NBoVAgQJ6U1MVXOaj8PK2l7WJ3RER9xtqwdhxkhw/edit?usp=sharing"",""ราชบุรี!J401"")"),0)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IFERROR(__xludf.DUMMYFUNCTION("IMPORTRANGE(""https://docs.google.com/spreadsheets/d/1SX6NBoVAgQJ6U1MVXOaj8PK2l7WJ3RER9xtqwdhxkhw/edit?usp=sharing"",""ราชบุรี!I402"")"),0)</f>
        <v>0</v>
      </c>
      <c r="J507" s="199">
        <f ca="1">IFERROR(__xludf.DUMMYFUNCTION("IMPORTRANGE(""https://docs.google.com/spreadsheets/d/1SX6NBoVAgQJ6U1MVXOaj8PK2l7WJ3RER9xtqwdhxkhw/edit?usp=sharing"",""ราชบุรี!J402"")"),0)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IFERROR(__xludf.DUMMYFUNCTION("IMPORTRANGE(""https://docs.google.com/spreadsheets/d/1SX6NBoVAgQJ6U1MVXOaj8PK2l7WJ3RER9xtqwdhxkhw/edit?usp=sharing"",""ราชบุรี!I403"")"),0)</f>
        <v>0</v>
      </c>
      <c r="J508" s="164">
        <f ca="1">IFERROR(__xludf.DUMMYFUNCTION("IMPORTRANGE(""https://docs.google.com/spreadsheets/d/1SX6NBoVAgQJ6U1MVXOaj8PK2l7WJ3RER9xtqwdhxkhw/edit?usp=sharing"",""ราชบุรี!J403"")"),0)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IFERROR(__xludf.DUMMYFUNCTION("IMPORTRANGE(""https://docs.google.com/spreadsheets/d/1SX6NBoVAgQJ6U1MVXOaj8PK2l7WJ3RER9xtqwdhxkhw/edit?usp=sharing"",""ราชบุรี!I404"")"),0)</f>
        <v>0</v>
      </c>
      <c r="J509" s="164">
        <f ca="1">IFERROR(__xludf.DUMMYFUNCTION("IMPORTRANGE(""https://docs.google.com/spreadsheets/d/1SX6NBoVAgQJ6U1MVXOaj8PK2l7WJ3RER9xtqwdhxkhw/edit?usp=sharing"",""ราชบุรี!J404"")"),0)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IFERROR(__xludf.DUMMYFUNCTION("IMPORTRANGE(""https://docs.google.com/spreadsheets/d/1SX6NBoVAgQJ6U1MVXOaj8PK2l7WJ3RER9xtqwdhxkhw/edit?usp=sharing"",""ราชบุรี!I405"")"),0)</f>
        <v>0</v>
      </c>
      <c r="J510" s="199">
        <f ca="1">IFERROR(__xludf.DUMMYFUNCTION("IMPORTRANGE(""https://docs.google.com/spreadsheets/d/1SX6NBoVAgQJ6U1MVXOaj8PK2l7WJ3RER9xtqwdhxkhw/edit?usp=sharing"",""ราชบุรี!J405"")"),0)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IFERROR(__xludf.DUMMYFUNCTION("IMPORTRANGE(""https://docs.google.com/spreadsheets/d/1SX6NBoVAgQJ6U1MVXOaj8PK2l7WJ3RER9xtqwdhxkhw/edit?usp=sharing"",""ราชบุรี!I406"")"),0)</f>
        <v>0</v>
      </c>
      <c r="J511" s="199">
        <f ca="1">IFERROR(__xludf.DUMMYFUNCTION("IMPORTRANGE(""https://docs.google.com/spreadsheets/d/1SX6NBoVAgQJ6U1MVXOaj8PK2l7WJ3RER9xtqwdhxkhw/edit?usp=sharing"",""ราชบุรี!J406"")"),0)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IFERROR(__xludf.DUMMYFUNCTION("IMPORTRANGE(""https://docs.google.com/spreadsheets/d/1SX6NBoVAgQJ6U1MVXOaj8PK2l7WJ3RER9xtqwdhxkhw/edit?usp=sharing"",""ราชบุรี!I407"")"),0)</f>
        <v>0</v>
      </c>
      <c r="J512" s="199">
        <f ca="1">IFERROR(__xludf.DUMMYFUNCTION("IMPORTRANGE(""https://docs.google.com/spreadsheets/d/1SX6NBoVAgQJ6U1MVXOaj8PK2l7WJ3RER9xtqwdhxkhw/edit?usp=sharing"",""ราชบุรี!J407"")"),0)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IFERROR(__xludf.DUMMYFUNCTION("IMPORTRANGE(""https://docs.google.com/spreadsheets/d/1SX6NBoVAgQJ6U1MVXOaj8PK2l7WJ3RER9xtqwdhxkhw/edit?usp=sharing"",""ราชบุรี!I408"")"),0)</f>
        <v>0</v>
      </c>
      <c r="J513" s="199">
        <f ca="1">IFERROR(__xludf.DUMMYFUNCTION("IMPORTRANGE(""https://docs.google.com/spreadsheets/d/1SX6NBoVAgQJ6U1MVXOaj8PK2l7WJ3RER9xtqwdhxkhw/edit?usp=sharing"",""ราชบุรี!J408"")"),0)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IFERROR(__xludf.DUMMYFUNCTION("IMPORTRANGE(""https://docs.google.com/spreadsheets/d/1SX6NBoVAgQJ6U1MVXOaj8PK2l7WJ3RER9xtqwdhxkhw/edit?usp=sharing"",""ราชบุรี!I409"")"),0)</f>
        <v>0</v>
      </c>
      <c r="J514" s="199">
        <f ca="1">IFERROR(__xludf.DUMMYFUNCTION("IMPORTRANGE(""https://docs.google.com/spreadsheets/d/1SX6NBoVAgQJ6U1MVXOaj8PK2l7WJ3RER9xtqwdhxkhw/edit?usp=sharing"",""ราชบุรี!J409"")"),0)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IFERROR(__xludf.DUMMYFUNCTION("IMPORTRANGE(""https://docs.google.com/spreadsheets/d/1SX6NBoVAgQJ6U1MVXOaj8PK2l7WJ3RER9xtqwdhxkhw/edit?usp=sharing"",""ราชบุรี!I410"")"),0)</f>
        <v>0</v>
      </c>
      <c r="J515" s="199">
        <f ca="1">IFERROR(__xludf.DUMMYFUNCTION("IMPORTRANGE(""https://docs.google.com/spreadsheets/d/1SX6NBoVAgQJ6U1MVXOaj8PK2l7WJ3RER9xtqwdhxkhw/edit?usp=sharing"",""ราชบุรี!J410"")"),0)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IFERROR(__xludf.DUMMYFUNCTION("IMPORTRANGE(""https://docs.google.com/spreadsheets/d/1SX6NBoVAgQJ6U1MVXOaj8PK2l7WJ3RER9xtqwdhxkhw/edit?usp=sharing"",""ราชบุรี!I412"")"),0)</f>
        <v>0</v>
      </c>
      <c r="J517" s="284">
        <f ca="1">IFERROR(__xludf.DUMMYFUNCTION("IMPORTRANGE(""https://docs.google.com/spreadsheets/d/1SX6NBoVAgQJ6U1MVXOaj8PK2l7WJ3RER9xtqwdhxkhw/edit?usp=sharing"",""ราชบุรี!J412"")"),0)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IFERROR(__xludf.DUMMYFUNCTION("IMPORTRANGE(""https://docs.google.com/spreadsheets/d/1SX6NBoVAgQJ6U1MVXOaj8PK2l7WJ3RER9xtqwdhxkhw/edit?usp=sharing"",""ราชบุรี!I413"")"),0)</f>
        <v>0</v>
      </c>
      <c r="J518" s="284">
        <f ca="1">IFERROR(__xludf.DUMMYFUNCTION("IMPORTRANGE(""https://docs.google.com/spreadsheets/d/1SX6NBoVAgQJ6U1MVXOaj8PK2l7WJ3RER9xtqwdhxkhw/edit?usp=sharing"",""ราชบุรี!J413"")"),0)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IFERROR(__xludf.DUMMYFUNCTION("IMPORTRANGE(""https://docs.google.com/spreadsheets/d/1SX6NBoVAgQJ6U1MVXOaj8PK2l7WJ3RER9xtqwdhxkhw/edit?usp=sharing"",""ราชบุรี!I414"")"),0)</f>
        <v>0</v>
      </c>
      <c r="J519" s="189">
        <f ca="1">IFERROR(__xludf.DUMMYFUNCTION("IMPORTRANGE(""https://docs.google.com/spreadsheets/d/1SX6NBoVAgQJ6U1MVXOaj8PK2l7WJ3RER9xtqwdhxkhw/edit?usp=sharing"",""ราชบุรี!J414"")"),0)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IFERROR(__xludf.DUMMYFUNCTION("IMPORTRANGE(""https://docs.google.com/spreadsheets/d/1SX6NBoVAgQJ6U1MVXOaj8PK2l7WJ3RER9xtqwdhxkhw/edit?usp=sharing"",""ราชบุรี!I415"")"),0)</f>
        <v>0</v>
      </c>
      <c r="J520" s="189">
        <f ca="1">IFERROR(__xludf.DUMMYFUNCTION("IMPORTRANGE(""https://docs.google.com/spreadsheets/d/1SX6NBoVAgQJ6U1MVXOaj8PK2l7WJ3RER9xtqwdhxkhw/edit?usp=sharing"",""ราชบุรี!J415"")"),0)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IFERROR(__xludf.DUMMYFUNCTION("IMPORTRANGE(""https://docs.google.com/spreadsheets/d/1SX6NBoVAgQJ6U1MVXOaj8PK2l7WJ3RER9xtqwdhxkhw/edit?usp=sharing"",""ราชบุรี!I416"")"),0)</f>
        <v>0</v>
      </c>
      <c r="J521" s="189">
        <f ca="1">IFERROR(__xludf.DUMMYFUNCTION("IMPORTRANGE(""https://docs.google.com/spreadsheets/d/1SX6NBoVAgQJ6U1MVXOaj8PK2l7WJ3RER9xtqwdhxkhw/edit?usp=sharing"",""ราชบุรี!J416"")"),0)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IFERROR(__xludf.DUMMYFUNCTION("IMPORTRANGE(""https://docs.google.com/spreadsheets/d/1SX6NBoVAgQJ6U1MVXOaj8PK2l7WJ3RER9xtqwdhxkhw/edit?usp=sharing"",""ราชบุรี!I417"")"),0)</f>
        <v>0</v>
      </c>
      <c r="J522" s="189">
        <f ca="1">IFERROR(__xludf.DUMMYFUNCTION("IMPORTRANGE(""https://docs.google.com/spreadsheets/d/1SX6NBoVAgQJ6U1MVXOaj8PK2l7WJ3RER9xtqwdhxkhw/edit?usp=sharing"",""ราชบุรี!J417"")"),0)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IFERROR(__xludf.DUMMYFUNCTION("IMPORTRANGE(""https://docs.google.com/spreadsheets/d/1SX6NBoVAgQJ6U1MVXOaj8PK2l7WJ3RER9xtqwdhxkhw/edit?usp=sharing"",""ราชบุรี!I418"")"),0)</f>
        <v>0</v>
      </c>
      <c r="J523" s="189">
        <f ca="1">IFERROR(__xludf.DUMMYFUNCTION("IMPORTRANGE(""https://docs.google.com/spreadsheets/d/1SX6NBoVAgQJ6U1MVXOaj8PK2l7WJ3RER9xtqwdhxkhw/edit?usp=sharing"",""ราชบุรี!J418"")"),0)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IFERROR(__xludf.DUMMYFUNCTION("IMPORTRANGE(""https://docs.google.com/spreadsheets/d/1SX6NBoVAgQJ6U1MVXOaj8PK2l7WJ3RER9xtqwdhxkhw/edit?usp=sharing"",""ราชบุรี!I419"")"),0)</f>
        <v>0</v>
      </c>
      <c r="J524" s="189">
        <f ca="1">IFERROR(__xludf.DUMMYFUNCTION("IMPORTRANGE(""https://docs.google.com/spreadsheets/d/1SX6NBoVAgQJ6U1MVXOaj8PK2l7WJ3RER9xtqwdhxkhw/edit?usp=sharing"",""ราชบุรี!J419"")"),0)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IFERROR(__xludf.DUMMYFUNCTION("IMPORTRANGE(""https://docs.google.com/spreadsheets/d/1SX6NBoVAgQJ6U1MVXOaj8PK2l7WJ3RER9xtqwdhxkhw/edit?usp=sharing"",""ราชบุรี!I420"")"),0)</f>
        <v>0</v>
      </c>
      <c r="J525" s="284">
        <f ca="1">IFERROR(__xludf.DUMMYFUNCTION("IMPORTRANGE(""https://docs.google.com/spreadsheets/d/1SX6NBoVAgQJ6U1MVXOaj8PK2l7WJ3RER9xtqwdhxkhw/edit?usp=sharing"",""ราชบุรี!J420"")"),0)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IFERROR(__xludf.DUMMYFUNCTION("IMPORTRANGE(""https://docs.google.com/spreadsheets/d/1SX6NBoVAgQJ6U1MVXOaj8PK2l7WJ3RER9xtqwdhxkhw/edit?usp=sharing"",""ราชบุรี!I421"")"),0)</f>
        <v>0</v>
      </c>
      <c r="J526" s="284">
        <f ca="1">IFERROR(__xludf.DUMMYFUNCTION("IMPORTRANGE(""https://docs.google.com/spreadsheets/d/1SX6NBoVAgQJ6U1MVXOaj8PK2l7WJ3RER9xtqwdhxkhw/edit?usp=sharing"",""ราชบุรี!J421"")"),0)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IFERROR(__xludf.DUMMYFUNCTION("IMPORTRANGE(""https://docs.google.com/spreadsheets/d/1SX6NBoVAgQJ6U1MVXOaj8PK2l7WJ3RER9xtqwdhxkhw/edit?usp=sharing"",""ราชบุรี!I422"")"),0)</f>
        <v>0</v>
      </c>
      <c r="J527" s="199">
        <f ca="1">IFERROR(__xludf.DUMMYFUNCTION("IMPORTRANGE(""https://docs.google.com/spreadsheets/d/1SX6NBoVAgQJ6U1MVXOaj8PK2l7WJ3RER9xtqwdhxkhw/edit?usp=sharing"",""ราชบุรี!J422"")"),0)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IFERROR(__xludf.DUMMYFUNCTION("IMPORTRANGE(""https://docs.google.com/spreadsheets/d/1SX6NBoVAgQJ6U1MVXOaj8PK2l7WJ3RER9xtqwdhxkhw/edit?usp=sharing"",""ราชบุรี!I423"")"),0)</f>
        <v>0</v>
      </c>
      <c r="J528" s="199">
        <f ca="1">IFERROR(__xludf.DUMMYFUNCTION("IMPORTRANGE(""https://docs.google.com/spreadsheets/d/1SX6NBoVAgQJ6U1MVXOaj8PK2l7WJ3RER9xtqwdhxkhw/edit?usp=sharing"",""ราชบุรี!J423"")"),0)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IFERROR(__xludf.DUMMYFUNCTION("IMPORTRANGE(""https://docs.google.com/spreadsheets/d/1SX6NBoVAgQJ6U1MVXOaj8PK2l7WJ3RER9xtqwdhxkhw/edit?usp=sharing"",""ราชบุรี!I424"")"),0)</f>
        <v>0</v>
      </c>
      <c r="J529" s="199">
        <f ca="1">IFERROR(__xludf.DUMMYFUNCTION("IMPORTRANGE(""https://docs.google.com/spreadsheets/d/1SX6NBoVAgQJ6U1MVXOaj8PK2l7WJ3RER9xtqwdhxkhw/edit?usp=sharing"",""ราชบุรี!J424"")"),0)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IFERROR(__xludf.DUMMYFUNCTION("IMPORTRANGE(""https://docs.google.com/spreadsheets/d/1SX6NBoVAgQJ6U1MVXOaj8PK2l7WJ3RER9xtqwdhxkhw/edit?usp=sharing"",""ราชบุรี!I425"")"),0)</f>
        <v>0</v>
      </c>
      <c r="J530" s="199">
        <f ca="1">IFERROR(__xludf.DUMMYFUNCTION("IMPORTRANGE(""https://docs.google.com/spreadsheets/d/1SX6NBoVAgQJ6U1MVXOaj8PK2l7WJ3RER9xtqwdhxkhw/edit?usp=sharing"",""ราชบุรี!J425"")"),0)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IFERROR(__xludf.DUMMYFUNCTION("IMPORTRANGE(""https://docs.google.com/spreadsheets/d/1SX6NBoVAgQJ6U1MVXOaj8PK2l7WJ3RER9xtqwdhxkhw/edit?usp=sharing"",""ราชบุรี!I426"")"),0)</f>
        <v>0</v>
      </c>
      <c r="J531" s="199">
        <f ca="1">IFERROR(__xludf.DUMMYFUNCTION("IMPORTRANGE(""https://docs.google.com/spreadsheets/d/1SX6NBoVAgQJ6U1MVXOaj8PK2l7WJ3RER9xtqwdhxkhw/edit?usp=sharing"",""ราชบุรี!J426"")"),0)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IFERROR(__xludf.DUMMYFUNCTION("IMPORTRANGE(""https://docs.google.com/spreadsheets/d/1SX6NBoVAgQJ6U1MVXOaj8PK2l7WJ3RER9xtqwdhxkhw/edit?usp=sharing"",""ราชบุรี!M428"")"),22716.97)</f>
        <v>22716.97</v>
      </c>
      <c r="O533" s="412">
        <f t="shared" ref="O533:O537" ca="1" si="118">+IF(L533&gt;0,N533*100/L533,0)</f>
        <v>66.153086779266161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IFERROR(__xludf.DUMMYFUNCTION("IMPORTRANGE(""https://docs.google.com/spreadsheets/d/1SX6NBoVAgQJ6U1MVXOaj8PK2l7WJ3RER9xtqwdhxkhw/edit?usp=sharing"",""ราชบุรี!L429"")"),0)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IFERROR(__xludf.DUMMYFUNCTION("IMPORTRANGE(""https://docs.google.com/spreadsheets/d/1SX6NBoVAgQJ6U1MVXOaj8PK2l7WJ3RER9xtqwdhxkhw/edit?usp=sharing"",""ราชบุรี!M429"")"),0)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IFERROR(__xludf.DUMMYFUNCTION("IMPORTRANGE(""https://docs.google.com/spreadsheets/d/1SX6NBoVAgQJ6U1MVXOaj8PK2l7WJ3RER9xtqwdhxkhw/edit?usp=sharing"",""ราชบุรี!L430"")"),34340)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IFERROR(__xludf.DUMMYFUNCTION("IMPORTRANGE(""https://docs.google.com/spreadsheets/d/1SX6NBoVAgQJ6U1MVXOaj8PK2l7WJ3RER9xtqwdhxkhw/edit?usp=sharing"",""ราชบุรี!M430"")"),22716.97)</f>
        <v>22716.97</v>
      </c>
      <c r="O535" s="170">
        <f t="shared" ca="1" si="118"/>
        <v>66.153086779266161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IFERROR(__xludf.DUMMYFUNCTION("IMPORTRANGE(""https://docs.google.com/spreadsheets/d/1SX6NBoVAgQJ6U1MVXOaj8PK2l7WJ3RER9xtqwdhxkhw/edit?usp=sharing"",""ราชบุรี!L431"")"),0)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IFERROR(__xludf.DUMMYFUNCTION("IMPORTRANGE(""https://docs.google.com/spreadsheets/d/1SX6NBoVAgQJ6U1MVXOaj8PK2l7WJ3RER9xtqwdhxkhw/edit?usp=sharing"",""ราชบุรี!M431"")"),0)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IFERROR(__xludf.DUMMYFUNCTION("IMPORTRANGE(""https://docs.google.com/spreadsheets/d/1SX6NBoVAgQJ6U1MVXOaj8PK2l7WJ3RER9xtqwdhxkhw/edit?usp=sharing"",""ราชบุรี!L432"")"),34340)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IFERROR(__xludf.DUMMYFUNCTION("IMPORTRANGE(""https://docs.google.com/spreadsheets/d/1SX6NBoVAgQJ6U1MVXOaj8PK2l7WJ3RER9xtqwdhxkhw/edit?usp=sharing"",""ราชบุรี!M432"")"),22716.97)</f>
        <v>22716.97</v>
      </c>
      <c r="O537" s="170">
        <f t="shared" ca="1" si="118"/>
        <v>66.153086779266161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IFERROR(__xludf.DUMMYFUNCTION("IMPORTRANGE(""https://docs.google.com/spreadsheets/d/1SX6NBoVAgQJ6U1MVXOaj8PK2l7WJ3RER9xtqwdhxkhw/edit?usp=sharing"",""ราชบุรี!M433"")"),17014)</f>
        <v>17014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IFERROR(__xludf.DUMMYFUNCTION("IMPORTRANGE(""https://docs.google.com/spreadsheets/d/1SX6NBoVAgQJ6U1MVXOaj8PK2l7WJ3RER9xtqwdhxkhw/edit?usp=sharing"",""ราชบุรี!M436"")"),5702.97)</f>
        <v>5702.97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IFERROR(__xludf.DUMMYFUNCTION("IMPORTRANGE(""https://docs.google.com/spreadsheets/d/1SX6NBoVAgQJ6U1MVXOaj8PK2l7WJ3RER9xtqwdhxkhw/edit?usp=sharing"",""ราชบุรี!J438"")"),0)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IFERROR(__xludf.DUMMYFUNCTION("IMPORTRANGE(""https://docs.google.com/spreadsheets/d/1SX6NBoVAgQJ6U1MVXOaj8PK2l7WJ3RER9xtqwdhxkhw/edit?usp=sharing"",""ราชบุรี!J439"")"),1)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IFERROR(__xludf.DUMMYFUNCTION("IMPORTRANGE(""https://docs.google.com/spreadsheets/d/1SX6NBoVAgQJ6U1MVXOaj8PK2l7WJ3RER9xtqwdhxkhw/edit?usp=sharing"",""ราชบุรี!J440"")"),1)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IFERROR(__xludf.DUMMYFUNCTION("IMPORTRANGE(""https://docs.google.com/spreadsheets/d/1SX6NBoVAgQJ6U1MVXOaj8PK2l7WJ3RER9xtqwdhxkhw/edit?usp=sharing"",""ราชบุรี!J441"")"),1)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IFERROR(__xludf.DUMMYFUNCTION("IMPORTRANGE(""https://docs.google.com/spreadsheets/d/1SX6NBoVAgQJ6U1MVXOaj8PK2l7WJ3RER9xtqwdhxkhw/edit?usp=sharing"",""ราชบุรี!I442"")"),22)</f>
        <v>22</v>
      </c>
      <c r="J547" s="190">
        <f ca="1">IFERROR(__xludf.DUMMYFUNCTION("IMPORTRANGE(""https://docs.google.com/spreadsheets/d/1SX6NBoVAgQJ6U1MVXOaj8PK2l7WJ3RER9xtqwdhxkhw/edit?usp=sharing"",""ราชบุรี!J442"")"),22)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IFERROR(__xludf.DUMMYFUNCTION("IMPORTRANGE(""https://docs.google.com/spreadsheets/d/1SX6NBoVAgQJ6U1MVXOaj8PK2l7WJ3RER9xtqwdhxkhw/edit?usp=sharing"",""ราชบุรี!J166"")"),0)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IFERROR(__xludf.DUMMYFUNCTION("IMPORTRANGE(""https://docs.google.com/spreadsheets/d/1SX6NBoVAgQJ6U1MVXOaj8PK2l7WJ3RER9xtqwdhxkhw/edit?usp=sharing"",""ราชบุรี!J444"")"),1)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IFERROR(__xludf.DUMMYFUNCTION("IMPORTRANGE(""https://docs.google.com/spreadsheets/d/1SX6NBoVAgQJ6U1MVXOaj8PK2l7WJ3RER9xtqwdhxkhw/edit?usp=sharing"",""ราชบุรี!L447"")"),0)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IFERROR(__xludf.DUMMYFUNCTION("IMPORTRANGE(""https://docs.google.com/spreadsheets/d/1SX6NBoVAgQJ6U1MVXOaj8PK2l7WJ3RER9xtqwdhxkhw/edit?usp=sharing"",""ราชบุรี!M447"")"),0)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IFERROR(__xludf.DUMMYFUNCTION("IMPORTRANGE(""https://docs.google.com/spreadsheets/d/1SX6NBoVAgQJ6U1MVXOaj8PK2l7WJ3RER9xtqwdhxkhw/edit?usp=sharing"",""ราชบุรี!L448"")"),0)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IFERROR(__xludf.DUMMYFUNCTION("IMPORTRANGE(""https://docs.google.com/spreadsheets/d/1SX6NBoVAgQJ6U1MVXOaj8PK2l7WJ3RER9xtqwdhxkhw/edit?usp=sharing"",""ราชบุรี!M448"")"),0)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IFERROR(__xludf.DUMMYFUNCTION("IMPORTRANGE(""https://docs.google.com/spreadsheets/d/1SX6NBoVAgQJ6U1MVXOaj8PK2l7WJ3RER9xtqwdhxkhw/edit?usp=sharing"",""ราชบุรี!L449"")"),0)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IFERROR(__xludf.DUMMYFUNCTION("IMPORTRANGE(""https://docs.google.com/spreadsheets/d/1SX6NBoVAgQJ6U1MVXOaj8PK2l7WJ3RER9xtqwdhxkhw/edit?usp=sharing"",""ราชบุรี!M449"")"),0)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IFERROR(__xludf.DUMMYFUNCTION("IMPORTRANGE(""https://docs.google.com/spreadsheets/d/1SX6NBoVAgQJ6U1MVXOaj8PK2l7WJ3RER9xtqwdhxkhw/edit?usp=sharing"",""ราชบุรี!L450"")"),0)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IFERROR(__xludf.DUMMYFUNCTION("IMPORTRANGE(""https://docs.google.com/spreadsheets/d/1SX6NBoVAgQJ6U1MVXOaj8PK2l7WJ3RER9xtqwdhxkhw/edit?usp=sharing"",""ราชบุรี!M450"")"),0)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IFERROR(__xludf.DUMMYFUNCTION("IMPORTRANGE(""https://docs.google.com/spreadsheets/d/1SX6NBoVAgQJ6U1MVXOaj8PK2l7WJ3RER9xtqwdhxkhw/edit?usp=sharing"",""ราชบุรี!M451"")"),0)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IFERROR(__xludf.DUMMYFUNCTION("IMPORTRANGE(""https://docs.google.com/spreadsheets/d/1SX6NBoVAgQJ6U1MVXOaj8PK2l7WJ3RER9xtqwdhxkhw/edit?usp=sharing"",""ราชบุรี!M452"")"),0)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IFERROR(__xludf.DUMMYFUNCTION("IMPORTRANGE(""https://docs.google.com/spreadsheets/d/1SX6NBoVAgQJ6U1MVXOaj8PK2l7WJ3RER9xtqwdhxkhw/edit?usp=sharing"",""ราชบุรี!M453"")"),0)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IFERROR(__xludf.DUMMYFUNCTION("IMPORTRANGE(""https://docs.google.com/spreadsheets/d/1SX6NBoVAgQJ6U1MVXOaj8PK2l7WJ3RER9xtqwdhxkhw/edit?usp=sharing"",""ราชบุรี!M454"")"),0)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IFERROR(__xludf.DUMMYFUNCTION("IMPORTRANGE(""https://docs.google.com/spreadsheets/d/1SX6NBoVAgQJ6U1MVXOaj8PK2l7WJ3RER9xtqwdhxkhw/edit?usp=sharing"",""ราชบุรี!I455"")"),0)</f>
        <v>0</v>
      </c>
      <c r="J560" s="164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IFERROR(__xludf.DUMMYFUNCTION("IMPORTRANGE(""https://docs.google.com/spreadsheets/d/1SX6NBoVAgQJ6U1MVXOaj8PK2l7WJ3RER9xtqwdhxkhw/edit?usp=sharing"",""ราชบุรี!I456"")"),0)</f>
        <v>0</v>
      </c>
      <c r="J561" s="205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IFERROR(__xludf.DUMMYFUNCTION("IMPORTRANGE(""https://docs.google.com/spreadsheets/d/1SX6NBoVAgQJ6U1MVXOaj8PK2l7WJ3RER9xtqwdhxkhw/edit?usp=sharing"",""ราชบุรี!I457"")"),0)</f>
        <v>0</v>
      </c>
      <c r="J562" s="205" t="str">
        <f ca="1">IFERROR(__xludf.DUMMYFUNCTION("IMPORTRANGE(""https://docs.google.com/spreadsheets/d/1SX6NBoVAgQJ6U1MVXOaj8PK2l7WJ3RER9xtqwdhxkhw/edit?usp=sharing"",""ราชบุรี!J457"")"),"")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IFERROR(__xludf.DUMMYFUNCTION("IMPORTRANGE(""https://docs.google.com/spreadsheets/d/1SX6NBoVAgQJ6U1MVXOaj8PK2l7WJ3RER9xtqwdhxkhw/edit?usp=sharing"",""ราชบุรี!I458"")"),0)</f>
        <v>0</v>
      </c>
      <c r="J563" s="189" t="str">
        <f ca="1">IFERROR(__xludf.DUMMYFUNCTION("IMPORTRANGE(""https://docs.google.com/spreadsheets/d/1SX6NBoVAgQJ6U1MVXOaj8PK2l7WJ3RER9xtqwdhxkhw/edit?usp=sharing"",""ราชบุรี!J458"")"),"")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IFERROR(__xludf.DUMMYFUNCTION("IMPORTRANGE(""https://docs.google.com/spreadsheets/d/1SX6NBoVAgQJ6U1MVXOaj8PK2l7WJ3RER9xtqwdhxkhw/edit?usp=sharing"",""ราชบุรี!J459"")"),2303)</f>
        <v>2303</v>
      </c>
      <c r="K564" s="372">
        <f t="shared" ca="1" si="121"/>
        <v>418.72727272727275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IFERROR(__xludf.DUMMYFUNCTION("IMPORTRANGE(""https://docs.google.com/spreadsheets/d/1SX6NBoVAgQJ6U1MVXOaj8PK2l7WJ3RER9xtqwdhxkhw/edit?usp=sharing"",""ราชบุรี!M459"")"),69074.2)</f>
        <v>69074.2</v>
      </c>
      <c r="O564" s="373">
        <f t="shared" ref="O564:O568" ca="1" si="122">+IF(L564&gt;0,N564*100/L564,0)</f>
        <v>54.786008883248734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IFERROR(__xludf.DUMMYFUNCTION("IMPORTRANGE(""https://docs.google.com/spreadsheets/d/1SX6NBoVAgQJ6U1MVXOaj8PK2l7WJ3RER9xtqwdhxkhw/edit?usp=sharing"",""ราชบุรี!L460"")"),0)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IFERROR(__xludf.DUMMYFUNCTION("IMPORTRANGE(""https://docs.google.com/spreadsheets/d/1SX6NBoVAgQJ6U1MVXOaj8PK2l7WJ3RER9xtqwdhxkhw/edit?usp=sharing"",""ราชบุรี!M460"")"),0)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IFERROR(__xludf.DUMMYFUNCTION("IMPORTRANGE(""https://docs.google.com/spreadsheets/d/1SX6NBoVAgQJ6U1MVXOaj8PK2l7WJ3RER9xtqwdhxkhw/edit?usp=sharing"",""ราชบุรี!L461"")"),126080)</f>
        <v>126080</v>
      </c>
      <c r="M566" s="167"/>
      <c r="N566" s="170">
        <f ca="1">IFERROR(__xludf.DUMMYFUNCTION("IMPORTRANGE(""https://docs.google.com/spreadsheets/d/1SX6NBoVAgQJ6U1MVXOaj8PK2l7WJ3RER9xtqwdhxkhw/edit?usp=sharing"",""ราชบุรี!M461"")"),69074.2)</f>
        <v>69074.2</v>
      </c>
      <c r="O566" s="170">
        <f t="shared" ca="1" si="122"/>
        <v>54.786008883248734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IFERROR(__xludf.DUMMYFUNCTION("IMPORTRANGE(""https://docs.google.com/spreadsheets/d/1SX6NBoVAgQJ6U1MVXOaj8PK2l7WJ3RER9xtqwdhxkhw/edit?usp=sharing"",""ราชบุรี!L462"")"),0)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IFERROR(__xludf.DUMMYFUNCTION("IMPORTRANGE(""https://docs.google.com/spreadsheets/d/1SX6NBoVAgQJ6U1MVXOaj8PK2l7WJ3RER9xtqwdhxkhw/edit?usp=sharing"",""ราชบุรี!M462"")"),0)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IFERROR(__xludf.DUMMYFUNCTION("IMPORTRANGE(""https://docs.google.com/spreadsheets/d/1SX6NBoVAgQJ6U1MVXOaj8PK2l7WJ3RER9xtqwdhxkhw/edit?usp=sharing"",""ราชบุรี!L463"")"),126080)</f>
        <v>126080</v>
      </c>
      <c r="M568" s="170"/>
      <c r="N568" s="170">
        <f ca="1">IFERROR(__xludf.DUMMYFUNCTION("IMPORTRANGE(""https://docs.google.com/spreadsheets/d/1SX6NBoVAgQJ6U1MVXOaj8PK2l7WJ3RER9xtqwdhxkhw/edit?usp=sharing"",""ราชบุรี!M463"")"),69074.2)</f>
        <v>69074.2</v>
      </c>
      <c r="O568" s="170">
        <f t="shared" ca="1" si="122"/>
        <v>54.786008883248734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IFERROR(__xludf.DUMMYFUNCTION("IMPORTRANGE(""https://docs.google.com/spreadsheets/d/1SX6NBoVAgQJ6U1MVXOaj8PK2l7WJ3RER9xtqwdhxkhw/edit?usp=sharing"",""ราชบุรี!M464"")"),0)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IFERROR(__xludf.DUMMYFUNCTION("IMPORTRANGE(""https://docs.google.com/spreadsheets/d/1SX6NBoVAgQJ6U1MVXOaj8PK2l7WJ3RER9xtqwdhxkhw/edit?usp=sharing"",""ราชบุรี!M465"")"),0)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IFERROR(__xludf.DUMMYFUNCTION("IMPORTRANGE(""https://docs.google.com/spreadsheets/d/1SX6NBoVAgQJ6U1MVXOaj8PK2l7WJ3RER9xtqwdhxkhw/edit?usp=sharing"",""ราชบุรี!M466"")"),51483.88)</f>
        <v>51483.88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IFERROR(__xludf.DUMMYFUNCTION("IMPORTRANGE(""https://docs.google.com/spreadsheets/d/1SX6NBoVAgQJ6U1MVXOaj8PK2l7WJ3RER9xtqwdhxkhw/edit?usp=sharing"",""ราชบุรี!M467"")"),17590.32)</f>
        <v>17590.32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IFERROR(__xludf.DUMMYFUNCTION("IMPORTRANGE(""https://docs.google.com/spreadsheets/d/1SX6NBoVAgQJ6U1MVXOaj8PK2l7WJ3RER9xtqwdhxkhw/edit?usp=sharing"",""ราชบุรี!J468"")"),2303)</f>
        <v>2303</v>
      </c>
      <c r="K573" s="203">
        <f ca="1">IF(I573&gt;0,J573*100/I573,0)</f>
        <v>418.72727272727275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IFERROR(__xludf.DUMMYFUNCTION("IMPORTRANGE(""https://docs.google.com/spreadsheets/d/1SX6NBoVAgQJ6U1MVXOaj8PK2l7WJ3RER9xtqwdhxkhw/edit?usp=sharing"",""ราชบุรี!I470"")"),0)</f>
        <v>0</v>
      </c>
      <c r="J575" s="199">
        <f ca="1">IFERROR(__xludf.DUMMYFUNCTION("IMPORTRANGE(""https://docs.google.com/spreadsheets/d/1SX6NBoVAgQJ6U1MVXOaj8PK2l7WJ3RER9xtqwdhxkhw/edit?usp=sharing"",""ราชบุรี!J470"")"),5)</f>
        <v>5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IFERROR(__xludf.DUMMYFUNCTION("IMPORTRANGE(""https://docs.google.com/spreadsheets/d/1SX6NBoVAgQJ6U1MVXOaj8PK2l7WJ3RER9xtqwdhxkhw/edit?usp=sharing"",""ราชบุรี!I471"")"),0)</f>
        <v>0</v>
      </c>
      <c r="J576" s="199">
        <f ca="1">IFERROR(__xludf.DUMMYFUNCTION("IMPORTRANGE(""https://docs.google.com/spreadsheets/d/1SX6NBoVAgQJ6U1MVXOaj8PK2l7WJ3RER9xtqwdhxkhw/edit?usp=sharing"",""ราชบุรี!J471"")"),149)</f>
        <v>149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IFERROR(__xludf.DUMMYFUNCTION("IMPORTRANGE(""https://docs.google.com/spreadsheets/d/1SX6NBoVAgQJ6U1MVXOaj8PK2l7WJ3RER9xtqwdhxkhw/edit?usp=sharing"",""ราชบุรี!I472"")"),0)</f>
        <v>0</v>
      </c>
      <c r="J577" s="190">
        <f ca="1">IFERROR(__xludf.DUMMYFUNCTION("IMPORTRANGE(""https://docs.google.com/spreadsheets/d/1SX6NBoVAgQJ6U1MVXOaj8PK2l7WJ3RER9xtqwdhxkhw/edit?usp=sharing"",""ราชบุรี!J472"")"),2129)</f>
        <v>2129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IFERROR(__xludf.DUMMYFUNCTION("IMPORTRANGE(""https://docs.google.com/spreadsheets/d/1SX6NBoVAgQJ6U1MVXOaj8PK2l7WJ3RER9xtqwdhxkhw/edit?usp=sharing"",""ราชบุรี!I473"")"),0)</f>
        <v>0</v>
      </c>
      <c r="J578" s="199">
        <f ca="1">IFERROR(__xludf.DUMMYFUNCTION("IMPORTRANGE(""https://docs.google.com/spreadsheets/d/1SX6NBoVAgQJ6U1MVXOaj8PK2l7WJ3RER9xtqwdhxkhw/edit?usp=sharing"",""ราชบุรี!J473"")"),18)</f>
        <v>18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IFERROR(__xludf.DUMMYFUNCTION("IMPORTRANGE(""https://docs.google.com/spreadsheets/d/1SX6NBoVAgQJ6U1MVXOaj8PK2l7WJ3RER9xtqwdhxkhw/edit?usp=sharing"",""ราชบุรี!I474"")"),0)</f>
        <v>0</v>
      </c>
      <c r="J579" s="199">
        <f ca="1">IFERROR(__xludf.DUMMYFUNCTION("IMPORTRANGE(""https://docs.google.com/spreadsheets/d/1SX6NBoVAgQJ6U1MVXOaj8PK2l7WJ3RER9xtqwdhxkhw/edit?usp=sharing"",""ราชบุรี!J474"")"),7)</f>
        <v>7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IFERROR(__xludf.DUMMYFUNCTION("IMPORTRANGE(""https://docs.google.com/spreadsheets/d/1SX6NBoVAgQJ6U1MVXOaj8PK2l7WJ3RER9xtqwdhxkhw/edit?usp=sharing"",""ราชบุรี!L476"")"),0)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IFERROR(__xludf.DUMMYFUNCTION("IMPORTRANGE(""https://docs.google.com/spreadsheets/d/1SX6NBoVAgQJ6U1MVXOaj8PK2l7WJ3RER9xtqwdhxkhw/edit?usp=sharing"",""ราชบุรี!M476"")"),0)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IFERROR(__xludf.DUMMYFUNCTION("IMPORTRANGE(""https://docs.google.com/spreadsheets/d/1SX6NBoVAgQJ6U1MVXOaj8PK2l7WJ3RER9xtqwdhxkhw/edit?usp=sharing"",""ราชบุรี!L477"")"),0)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IFERROR(__xludf.DUMMYFUNCTION("IMPORTRANGE(""https://docs.google.com/spreadsheets/d/1SX6NBoVAgQJ6U1MVXOaj8PK2l7WJ3RER9xtqwdhxkhw/edit?usp=sharing"",""ราชบุรี!M477"")"),0)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IFERROR(__xludf.DUMMYFUNCTION("IMPORTRANGE(""https://docs.google.com/spreadsheets/d/1SX6NBoVAgQJ6U1MVXOaj8PK2l7WJ3RER9xtqwdhxkhw/edit?usp=sharing"",""ราชบุรี!L478"")"),0)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IFERROR(__xludf.DUMMYFUNCTION("IMPORTRANGE(""https://docs.google.com/spreadsheets/d/1SX6NBoVAgQJ6U1MVXOaj8PK2l7WJ3RER9xtqwdhxkhw/edit?usp=sharing"",""ราชบุรี!M478"")"),0)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IFERROR(__xludf.DUMMYFUNCTION("IMPORTRANGE(""https://docs.google.com/spreadsheets/d/1SX6NBoVAgQJ6U1MVXOaj8PK2l7WJ3RER9xtqwdhxkhw/edit?usp=sharing"",""ราชบุรี!L479"")"),0)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IFERROR(__xludf.DUMMYFUNCTION("IMPORTRANGE(""https://docs.google.com/spreadsheets/d/1SX6NBoVAgQJ6U1MVXOaj8PK2l7WJ3RER9xtqwdhxkhw/edit?usp=sharing"",""ราชบุรี!M479"")"),0)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IFERROR(__xludf.DUMMYFUNCTION("IMPORTRANGE(""https://docs.google.com/spreadsheets/d/1SX6NBoVAgQJ6U1MVXOaj8PK2l7WJ3RER9xtqwdhxkhw/edit?usp=sharing"",""ราชบุรี!M480"")"),0)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IFERROR(__xludf.DUMMYFUNCTION("IMPORTRANGE(""https://docs.google.com/spreadsheets/d/1SX6NBoVAgQJ6U1MVXOaj8PK2l7WJ3RER9xtqwdhxkhw/edit?usp=sharing"",""ราชบุรี!M481"")"),0)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IFERROR(__xludf.DUMMYFUNCTION("IMPORTRANGE(""https://docs.google.com/spreadsheets/d/1SX6NBoVAgQJ6U1MVXOaj8PK2l7WJ3RER9xtqwdhxkhw/edit?usp=sharing"",""ราชบุรี!M482"")"),0)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IFERROR(__xludf.DUMMYFUNCTION("IMPORTRANGE(""https://docs.google.com/spreadsheets/d/1SX6NBoVAgQJ6U1MVXOaj8PK2l7WJ3RER9xtqwdhxkhw/edit?usp=sharing"",""ราชบุรี!M483"")"),0)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IFERROR(__xludf.DUMMYFUNCTION("IMPORTRANGE(""https://docs.google.com/spreadsheets/d/1SX6NBoVAgQJ6U1MVXOaj8PK2l7WJ3RER9xtqwdhxkhw/edit?usp=sharing"",""ราชบุรี!I484"")"),0)</f>
        <v>0</v>
      </c>
      <c r="J589" s="189">
        <f ca="1">IFERROR(__xludf.DUMMYFUNCTION("IMPORTRANGE(""https://docs.google.com/spreadsheets/d/1SX6NBoVAgQJ6U1MVXOaj8PK2l7WJ3RER9xtqwdhxkhw/edit?usp=sharing"",""ราชบุรี!J484"")"),0)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9">
        <f ca="1">IFERROR(__xludf.DUMMYFUNCTION("IMPORTRANGE(""https://docs.google.com/spreadsheets/d/1SX6NBoVAgQJ6U1MVXOaj8PK2l7WJ3RER9xtqwdhxkhw/edit?usp=sharing"",""ราชบุรี!J485"")"),0)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IFERROR(__xludf.DUMMYFUNCTION("IMPORTRANGE(""https://docs.google.com/spreadsheets/d/1SX6NBoVAgQJ6U1MVXOaj8PK2l7WJ3RER9xtqwdhxkhw/edit?usp=sharing"",""ราชบุรี!I486"")"),0)</f>
        <v>0</v>
      </c>
      <c r="J591" s="189">
        <f ca="1">IFERROR(__xludf.DUMMYFUNCTION("IMPORTRANGE(""https://docs.google.com/spreadsheets/d/1SX6NBoVAgQJ6U1MVXOaj8PK2l7WJ3RER9xtqwdhxkhw/edit?usp=sharing"",""ราชบุรี!J486"")"),0)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9">
        <f ca="1">IFERROR(__xludf.DUMMYFUNCTION("IMPORTRANGE(""https://docs.google.com/spreadsheets/d/1SX6NBoVAgQJ6U1MVXOaj8PK2l7WJ3RER9xtqwdhxkhw/edit?usp=sharing"",""ราชบุรี!J487"")"),0)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IFERROR(__xludf.DUMMYFUNCTION("IMPORTRANGE(""https://docs.google.com/spreadsheets/d/1SX6NBoVAgQJ6U1MVXOaj8PK2l7WJ3RER9xtqwdhxkhw/edit?usp=sharing"",""ราชบุรี!I488"")"),0)</f>
        <v>0</v>
      </c>
      <c r="J593" s="189">
        <f ca="1">IFERROR(__xludf.DUMMYFUNCTION("IMPORTRANGE(""https://docs.google.com/spreadsheets/d/1SX6NBoVAgQJ6U1MVXOaj8PK2l7WJ3RER9xtqwdhxkhw/edit?usp=sharing"",""ราชบุรี!J488"")"),0)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9">
        <f ca="1">IFERROR(__xludf.DUMMYFUNCTION("IMPORTRANGE(""https://docs.google.com/spreadsheets/d/1SX6NBoVAgQJ6U1MVXOaj8PK2l7WJ3RER9xtqwdhxkhw/edit?usp=sharing"",""ราชบุรี!J489"")"),0)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IFERROR(__xludf.DUMMYFUNCTION("IMPORTRANGE(""https://docs.google.com/spreadsheets/d/1SX6NBoVAgQJ6U1MVXOaj8PK2l7WJ3RER9xtqwdhxkhw/edit?usp=sharing"",""ราชบุรี!I490"")"),0)</f>
        <v>0</v>
      </c>
      <c r="J595" s="189">
        <f ca="1">IFERROR(__xludf.DUMMYFUNCTION("IMPORTRANGE(""https://docs.google.com/spreadsheets/d/1SX6NBoVAgQJ6U1MVXOaj8PK2l7WJ3RER9xtqwdhxkhw/edit?usp=sharing"",""ราชบุรี!J490"")"),0)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7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IFERROR(__xludf.DUMMYFUNCTION("IMPORTRANGE(""https://docs.google.com/spreadsheets/d/1SX6NBoVAgQJ6U1MVXOaj8PK2l7WJ3RER9xtqwdhxkhw/edit?usp=sharing"",""ราชบุรี!L493"")"),0)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IFERROR(__xludf.DUMMYFUNCTION("IMPORTRANGE(""https://docs.google.com/spreadsheets/d/1SX6NBoVAgQJ6U1MVXOaj8PK2l7WJ3RER9xtqwdhxkhw/edit?usp=sharing"",""ราชบุรี!M493"")"),0)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IFERROR(__xludf.DUMMYFUNCTION("IMPORTRANGE(""https://docs.google.com/spreadsheets/d/1SX6NBoVAgQJ6U1MVXOaj8PK2l7WJ3RER9xtqwdhxkhw/edit?usp=sharing"",""ราชบุรี!L494"")"),5350)</f>
        <v>5350</v>
      </c>
      <c r="M599" s="167"/>
      <c r="N599" s="170">
        <f ca="1">IFERROR(__xludf.DUMMYFUNCTION("IMPORTRANGE(""https://docs.google.com/spreadsheets/d/1SX6NBoVAgQJ6U1MVXOaj8PK2l7WJ3RER9xtqwdhxkhw/edit?usp=sharing"",""ราชบุรี!M494"")"),300)</f>
        <v>300</v>
      </c>
      <c r="O599" s="170">
        <f t="shared" ca="1" si="126"/>
        <v>5.6074766355140184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IFERROR(__xludf.DUMMYFUNCTION("IMPORTRANGE(""https://docs.google.com/spreadsheets/d/1SX6NBoVAgQJ6U1MVXOaj8PK2l7WJ3RER9xtqwdhxkhw/edit?usp=sharing"",""ราชบุรี!L495"")"),0)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IFERROR(__xludf.DUMMYFUNCTION("IMPORTRANGE(""https://docs.google.com/spreadsheets/d/1SX6NBoVAgQJ6U1MVXOaj8PK2l7WJ3RER9xtqwdhxkhw/edit?usp=sharing"",""ราชบุรี!M495"")"),0)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IFERROR(__xludf.DUMMYFUNCTION("IMPORTRANGE(""https://docs.google.com/spreadsheets/d/1SX6NBoVAgQJ6U1MVXOaj8PK2l7WJ3RER9xtqwdhxkhw/edit?usp=sharing"",""ราชบุรี!L496"")"),5350)</f>
        <v>5350</v>
      </c>
      <c r="M601" s="170"/>
      <c r="N601" s="170">
        <f ca="1">IFERROR(__xludf.DUMMYFUNCTION("IMPORTRANGE(""https://docs.google.com/spreadsheets/d/1SX6NBoVAgQJ6U1MVXOaj8PK2l7WJ3RER9xtqwdhxkhw/edit?usp=sharing"",""ราชบุรี!M496"")"),300)</f>
        <v>300</v>
      </c>
      <c r="O601" s="170">
        <f t="shared" ca="1" si="126"/>
        <v>5.6074766355140184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IFERROR(__xludf.DUMMYFUNCTION("IMPORTRANGE(""https://docs.google.com/spreadsheets/d/1SX6NBoVAgQJ6U1MVXOaj8PK2l7WJ3RER9xtqwdhxkhw/edit?usp=sharing"",""ราชบุรี!M497"")"),0)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IFERROR(__xludf.DUMMYFUNCTION("IMPORTRANGE(""https://docs.google.com/spreadsheets/d/1SX6NBoVAgQJ6U1MVXOaj8PK2l7WJ3RER9xtqwdhxkhw/edit?usp=sharing"",""ราชบุรี!M498"")"),0)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IFERROR(__xludf.DUMMYFUNCTION("IMPORTRANGE(""https://docs.google.com/spreadsheets/d/1SX6NBoVAgQJ6U1MVXOaj8PK2l7WJ3RER9xtqwdhxkhw/edit?usp=sharing"",""ราชบุรี!J502"")"),0)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IFERROR(__xludf.DUMMYFUNCTION("IMPORTRANGE(""https://docs.google.com/spreadsheets/d/1SX6NBoVAgQJ6U1MVXOaj8PK2l7WJ3RER9xtqwdhxkhw/edit?usp=sharing"",""ราชบุรี!J503"")"),1)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IFERROR(__xludf.DUMMYFUNCTION("IMPORTRANGE(""https://docs.google.com/spreadsheets/d/1SX6NBoVAgQJ6U1MVXOaj8PK2l7WJ3RER9xtqwdhxkhw/edit?usp=sharing"",""ราชบุรี!I506"")"),50)</f>
        <v>50</v>
      </c>
      <c r="J611" s="164">
        <f ca="1">IFERROR(__xludf.DUMMYFUNCTION("IMPORTRANGE(""https://docs.google.com/spreadsheets/d/1SX6NBoVAgQJ6U1MVXOaj8PK2l7WJ3RER9xtqwdhxkhw/edit?usp=sharing"",""ราชบุรี!J506"")"),0)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IFERROR(__xludf.DUMMYFUNCTION("IMPORTRANGE(""https://docs.google.com/spreadsheets/d/1SX6NBoVAgQJ6U1MVXOaj8PK2l7WJ3RER9xtqwdhxkhw/edit?usp=sharing"",""ราชบุรี!I507"")"),0)</f>
        <v>0</v>
      </c>
      <c r="J612" s="199">
        <f ca="1">IFERROR(__xludf.DUMMYFUNCTION("IMPORTRANGE(""https://docs.google.com/spreadsheets/d/1SX6NBoVAgQJ6U1MVXOaj8PK2l7WJ3RER9xtqwdhxkhw/edit?usp=sharing"",""ราชบุรี!J507"")"),0)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IFERROR(__xludf.DUMMYFUNCTION("IMPORTRANGE(""https://docs.google.com/spreadsheets/d/1SX6NBoVAgQJ6U1MVXOaj8PK2l7WJ3RER9xtqwdhxkhw/edit?usp=sharing"",""ราชบุรี!I508"")"),0)</f>
        <v>0</v>
      </c>
      <c r="J613" s="199">
        <f ca="1">IFERROR(__xludf.DUMMYFUNCTION("IMPORTRANGE(""https://docs.google.com/spreadsheets/d/1SX6NBoVAgQJ6U1MVXOaj8PK2l7WJ3RER9xtqwdhxkhw/edit?usp=sharing"",""ราชบุรี!J508"")"),0)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IFERROR(__xludf.DUMMYFUNCTION("IMPORTRANGE(""https://docs.google.com/spreadsheets/d/1SX6NBoVAgQJ6U1MVXOaj8PK2l7WJ3RER9xtqwdhxkhw/edit?usp=sharing"",""ราชบุรี!I509"")"),0)</f>
        <v>0</v>
      </c>
      <c r="J614" s="199">
        <f ca="1">IFERROR(__xludf.DUMMYFUNCTION("IMPORTRANGE(""https://docs.google.com/spreadsheets/d/1SX6NBoVAgQJ6U1MVXOaj8PK2l7WJ3RER9xtqwdhxkhw/edit?usp=sharing"",""ราชบุรี!J509"")"),0)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IFERROR(__xludf.DUMMYFUNCTION("IMPORTRANGE(""https://docs.google.com/spreadsheets/d/1SX6NBoVAgQJ6U1MVXOaj8PK2l7WJ3RER9xtqwdhxkhw/edit?usp=sharing"",""ราชบุรี!I510"")"),0)</f>
        <v>0</v>
      </c>
      <c r="J615" s="199">
        <f ca="1">IFERROR(__xludf.DUMMYFUNCTION("IMPORTRANGE(""https://docs.google.com/spreadsheets/d/1SX6NBoVAgQJ6U1MVXOaj8PK2l7WJ3RER9xtqwdhxkhw/edit?usp=sharing"",""ราชบุรี!J510"")"),0)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IFERROR(__xludf.DUMMYFUNCTION("IMPORTRANGE(""https://docs.google.com/spreadsheets/d/1SX6NBoVAgQJ6U1MVXOaj8PK2l7WJ3RER9xtqwdhxkhw/edit?usp=sharing"",""ราชบุรี!I511"")"),0)</f>
        <v>0</v>
      </c>
      <c r="J616" s="199">
        <f ca="1">IFERROR(__xludf.DUMMYFUNCTION("IMPORTRANGE(""https://docs.google.com/spreadsheets/d/1SX6NBoVAgQJ6U1MVXOaj8PK2l7WJ3RER9xtqwdhxkhw/edit?usp=sharing"",""ราชบุรี!J511"")"),0)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IFERROR(__xludf.DUMMYFUNCTION("IMPORTRANGE(""https://docs.google.com/spreadsheets/d/1SX6NBoVAgQJ6U1MVXOaj8PK2l7WJ3RER9xtqwdhxkhw/edit?usp=sharing"",""ราชบุรี!I512"")"),0)</f>
        <v>0</v>
      </c>
      <c r="J617" s="189">
        <f ca="1">IFERROR(__xludf.DUMMYFUNCTION("IMPORTRANGE(""https://docs.google.com/spreadsheets/d/1SX6NBoVAgQJ6U1MVXOaj8PK2l7WJ3RER9xtqwdhxkhw/edit?usp=sharing"",""ราชบุรี!J512"")"),0)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IFERROR(__xludf.DUMMYFUNCTION("IMPORTRANGE(""https://docs.google.com/spreadsheets/d/1SX6NBoVAgQJ6U1MVXOaj8PK2l7WJ3RER9xtqwdhxkhw/edit?usp=sharing"",""ราชบุรี!I513"")"),0)</f>
        <v>0</v>
      </c>
      <c r="J618" s="190">
        <f ca="1">IFERROR(__xludf.DUMMYFUNCTION("IMPORTRANGE(""https://docs.google.com/spreadsheets/d/1SX6NBoVAgQJ6U1MVXOaj8PK2l7WJ3RER9xtqwdhxkhw/edit?usp=sharing"",""ราชบุรี!J513"")"),0)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IFERROR(__xludf.DUMMYFUNCTION("IMPORTRANGE(""https://docs.google.com/spreadsheets/d/1SX6NBoVAgQJ6U1MVXOaj8PK2l7WJ3RER9xtqwdhxkhw/edit?usp=sharing"",""ราชบุรี!I514"")"),0)</f>
        <v>0</v>
      </c>
      <c r="J619" s="190">
        <f ca="1">IFERROR(__xludf.DUMMYFUNCTION("IMPORTRANGE(""https://docs.google.com/spreadsheets/d/1SX6NBoVAgQJ6U1MVXOaj8PK2l7WJ3RER9xtqwdhxkhw/edit?usp=sharing"",""ราชบุรี!J514"")"),0)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IFERROR(__xludf.DUMMYFUNCTION("IMPORTRANGE(""https://docs.google.com/spreadsheets/d/1SX6NBoVAgQJ6U1MVXOaj8PK2l7WJ3RER9xtqwdhxkhw/edit?usp=sharing"",""ราชบุรี!I515"")"),0)</f>
        <v>0</v>
      </c>
      <c r="J620" s="204">
        <f ca="1">IFERROR(__xludf.DUMMYFUNCTION("IMPORTRANGE(""https://docs.google.com/spreadsheets/d/1SX6NBoVAgQJ6U1MVXOaj8PK2l7WJ3RER9xtqwdhxkhw/edit?usp=sharing"",""ราชบุรี!J515"")"),0)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IFERROR(__xludf.DUMMYFUNCTION("IMPORTRANGE(""https://docs.google.com/spreadsheets/d/1SX6NBoVAgQJ6U1MVXOaj8PK2l7WJ3RER9xtqwdhxkhw/edit?usp=sharing"",""ราชบุรี!I516"")"),0)</f>
        <v>0</v>
      </c>
      <c r="J621" s="204">
        <f ca="1">IFERROR(__xludf.DUMMYFUNCTION("IMPORTRANGE(""https://docs.google.com/spreadsheets/d/1SX6NBoVAgQJ6U1MVXOaj8PK2l7WJ3RER9xtqwdhxkhw/edit?usp=sharing"",""ราชบุรี!J516"")"),0)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IFERROR(__xludf.DUMMYFUNCTION("IMPORTRANGE(""https://docs.google.com/spreadsheets/d/1SX6NBoVAgQJ6U1MVXOaj8PK2l7WJ3RER9xtqwdhxkhw/edit?usp=sharing"",""ราชบุรี!I517"")"),0)</f>
        <v>0</v>
      </c>
      <c r="J622" s="190">
        <f ca="1">IFERROR(__xludf.DUMMYFUNCTION("IMPORTRANGE(""https://docs.google.com/spreadsheets/d/1SX6NBoVAgQJ6U1MVXOaj8PK2l7WJ3RER9xtqwdhxkhw/edit?usp=sharing"",""ราชบุรี!J517"")"),0)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IFERROR(__xludf.DUMMYFUNCTION("IMPORTRANGE(""https://docs.google.com/spreadsheets/d/1SX6NBoVAgQJ6U1MVXOaj8PK2l7WJ3RER9xtqwdhxkhw/edit?usp=sharing"",""ราชบุรี!I518"")"),0)</f>
        <v>0</v>
      </c>
      <c r="J623" s="190">
        <f ca="1">IFERROR(__xludf.DUMMYFUNCTION("IMPORTRANGE(""https://docs.google.com/spreadsheets/d/1SX6NBoVAgQJ6U1MVXOaj8PK2l7WJ3RER9xtqwdhxkhw/edit?usp=sharing"",""ราชบุรี!J518"")"),0)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IFERROR(__xludf.DUMMYFUNCTION("IMPORTRANGE(""https://docs.google.com/spreadsheets/d/1SX6NBoVAgQJ6U1MVXOaj8PK2l7WJ3RER9xtqwdhxkhw/edit?usp=sharing"",""ราชบุรี!I519"")"),0)</f>
        <v>0</v>
      </c>
      <c r="J624" s="189">
        <f ca="1">IFERROR(__xludf.DUMMYFUNCTION("IMPORTRANGE(""https://docs.google.com/spreadsheets/d/1SX6NBoVAgQJ6U1MVXOaj8PK2l7WJ3RER9xtqwdhxkhw/edit?usp=sharing"",""ราชบุรี!J519"")"),0)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IFERROR(__xludf.DUMMYFUNCTION("IMPORTRANGE(""https://docs.google.com/spreadsheets/d/1SX6NBoVAgQJ6U1MVXOaj8PK2l7WJ3RER9xtqwdhxkhw/edit?usp=sharing"",""ราชบุรี!I520"")"),0)</f>
        <v>0</v>
      </c>
      <c r="J625" s="190">
        <f ca="1">IFERROR(__xludf.DUMMYFUNCTION("IMPORTRANGE(""https://docs.google.com/spreadsheets/d/1SX6NBoVAgQJ6U1MVXOaj8PK2l7WJ3RER9xtqwdhxkhw/edit?usp=sharing"",""ราชบุรี!J520"")"),0)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IFERROR(__xludf.DUMMYFUNCTION("IMPORTRANGE(""https://docs.google.com/spreadsheets/d/1SX6NBoVAgQJ6U1MVXOaj8PK2l7WJ3RER9xtqwdhxkhw/edit?usp=sharing"",""ราชบุรี!I521"")"),0)</f>
        <v>0</v>
      </c>
      <c r="J626" s="190">
        <f ca="1">IFERROR(__xludf.DUMMYFUNCTION("IMPORTRANGE(""https://docs.google.com/spreadsheets/d/1SX6NBoVAgQJ6U1MVXOaj8PK2l7WJ3RER9xtqwdhxkhw/edit?usp=sharing"",""ราชบุรี!J521"")"),0)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IFERROR(__xludf.DUMMYFUNCTION("IMPORTRANGE(""https://docs.google.com/spreadsheets/d/1SX6NBoVAgQJ6U1MVXOaj8PK2l7WJ3RER9xtqwdhxkhw/edit?usp=sharing"",""ราชบุรี!I523"")"),1799548.1)</f>
        <v>1799548.1</v>
      </c>
      <c r="J628" s="341">
        <f ca="1">IFERROR(__xludf.DUMMYFUNCTION("IMPORTRANGE(""https://docs.google.com/spreadsheets/d/1SX6NBoVAgQJ6U1MVXOaj8PK2l7WJ3RER9xtqwdhxkhw/edit?usp=sharing"",""ราชบุรี!J523"")"),599958.49)</f>
        <v>599958.49</v>
      </c>
      <c r="K628" s="342">
        <f t="shared" ref="K628:K635" ca="1" si="129">IF(I628&gt;0,J628*100/I628,0)</f>
        <v>33.339397263123999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IFERROR(__xludf.DUMMYFUNCTION("IMPORTRANGE(""https://docs.google.com/spreadsheets/d/1SX6NBoVAgQJ6U1MVXOaj8PK2l7WJ3RER9xtqwdhxkhw/edit?usp=sharing"",""ราชบุรี!I524"")"),117)</f>
        <v>117</v>
      </c>
      <c r="J629" s="341">
        <f ca="1">IFERROR(__xludf.DUMMYFUNCTION("IMPORTRANGE(""https://docs.google.com/spreadsheets/d/1SX6NBoVAgQJ6U1MVXOaj8PK2l7WJ3RER9xtqwdhxkhw/edit?usp=sharing"",""ราชบุรี!J524"")"),45)</f>
        <v>45</v>
      </c>
      <c r="K629" s="342">
        <f t="shared" ca="1" si="129"/>
        <v>38.46153846153846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IFERROR(__xludf.DUMMYFUNCTION("IMPORTRANGE(""https://docs.google.com/spreadsheets/d/1SX6NBoVAgQJ6U1MVXOaj8PK2l7WJ3RER9xtqwdhxkhw/edit?usp=sharing"",""ราชบุรี!I525"")"),4148676.3)</f>
        <v>4148676.3</v>
      </c>
      <c r="J630" s="341">
        <f ca="1">IFERROR(__xludf.DUMMYFUNCTION("IMPORTRANGE(""https://docs.google.com/spreadsheets/d/1SX6NBoVAgQJ6U1MVXOaj8PK2l7WJ3RER9xtqwdhxkhw/edit?usp=sharing"",""ราชบุรี!J525"")"),581073.76)</f>
        <v>581073.76</v>
      </c>
      <c r="K630" s="342">
        <f t="shared" ca="1" si="129"/>
        <v>14.006244835250223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IFERROR(__xludf.DUMMYFUNCTION("IMPORTRANGE(""https://docs.google.com/spreadsheets/d/1SX6NBoVAgQJ6U1MVXOaj8PK2l7WJ3RER9xtqwdhxkhw/edit?usp=sharing"",""ราชบุรี!I526"")"),203)</f>
        <v>203</v>
      </c>
      <c r="J631" s="341">
        <f ca="1">IFERROR(__xludf.DUMMYFUNCTION("IMPORTRANGE(""https://docs.google.com/spreadsheets/d/1SX6NBoVAgQJ6U1MVXOaj8PK2l7WJ3RER9xtqwdhxkhw/edit?usp=sharing"",""ราชบุรี!J526"")"),114)</f>
        <v>114</v>
      </c>
      <c r="K631" s="342">
        <f t="shared" ca="1" si="129"/>
        <v>56.157635467980299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IFERROR(__xludf.DUMMYFUNCTION("IMPORTRANGE(""https://docs.google.com/spreadsheets/d/1SX6NBoVAgQJ6U1MVXOaj8PK2l7WJ3RER9xtqwdhxkhw/edit?usp=sharing"",""ราชบุรี!I527"")"),130782.22)</f>
        <v>130782.22</v>
      </c>
      <c r="J632" s="341">
        <f ca="1">IFERROR(__xludf.DUMMYFUNCTION("IMPORTRANGE(""https://docs.google.com/spreadsheets/d/1SX6NBoVAgQJ6U1MVXOaj8PK2l7WJ3RER9xtqwdhxkhw/edit?usp=sharing"",""ราชบุรี!J527"")"),49800.18)</f>
        <v>49800.18</v>
      </c>
      <c r="K632" s="342">
        <f t="shared" ca="1" si="129"/>
        <v>38.078708252543805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IFERROR(__xludf.DUMMYFUNCTION("IMPORTRANGE(""https://docs.google.com/spreadsheets/d/1SX6NBoVAgQJ6U1MVXOaj8PK2l7WJ3RER9xtqwdhxkhw/edit?usp=sharing"",""ราชบุรี!I528"")"),15)</f>
        <v>15</v>
      </c>
      <c r="J633" s="341">
        <f ca="1">IFERROR(__xludf.DUMMYFUNCTION("IMPORTRANGE(""https://docs.google.com/spreadsheets/d/1SX6NBoVAgQJ6U1MVXOaj8PK2l7WJ3RER9xtqwdhxkhw/edit?usp=sharing"",""ราชบุรี!J528"")"),7)</f>
        <v>7</v>
      </c>
      <c r="K633" s="342">
        <f t="shared" ca="1" si="129"/>
        <v>46.666666666666664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IFERROR(__xludf.DUMMYFUNCTION("IMPORTRANGE(""https://docs.google.com/spreadsheets/d/1SX6NBoVAgQJ6U1MVXOaj8PK2l7WJ3RER9xtqwdhxkhw/edit?usp=sharing"",""ราชบุรี!I529"")"),2000000)</f>
        <v>2000000</v>
      </c>
      <c r="J634" s="341">
        <f ca="1">IFERROR(__xludf.DUMMYFUNCTION("IMPORTRANGE(""https://docs.google.com/spreadsheets/d/1SX6NBoVAgQJ6U1MVXOaj8PK2l7WJ3RER9xtqwdhxkhw/edit?usp=sharing"",""ราชบุรี!J529"")"),720000)</f>
        <v>720000</v>
      </c>
      <c r="K634" s="342">
        <f t="shared" ca="1" si="129"/>
        <v>36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IFERROR(__xludf.DUMMYFUNCTION("IMPORTRANGE(""https://docs.google.com/spreadsheets/d/1SX6NBoVAgQJ6U1MVXOaj8PK2l7WJ3RER9xtqwdhxkhw/edit?usp=sharing"",""ราชบุรี!I530"")"),76)</f>
        <v>76</v>
      </c>
      <c r="J635" s="504">
        <f ca="1">IFERROR(__xludf.DUMMYFUNCTION("IMPORTRANGE(""https://docs.google.com/spreadsheets/d/1SX6NBoVAgQJ6U1MVXOaj8PK2l7WJ3RER9xtqwdhxkhw/edit?usp=sharing"",""ราชบุรี!J530"")"),24)</f>
        <v>24</v>
      </c>
      <c r="K635" s="486">
        <f t="shared" ca="1" si="129"/>
        <v>31.578947368421051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14" activePane="bottomLeft" state="frozen"/>
      <selection activeCell="J4" sqref="J4"/>
      <selection pane="bottomLeft" activeCell="J433" sqref="J43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42578125" bestFit="1" customWidth="1"/>
    <col min="10" max="10" width="15.85546875" customWidth="1"/>
    <col min="11" max="11" width="11" bestFit="1" customWidth="1"/>
    <col min="12" max="12" width="19.42578125" bestFit="1" customWidth="1"/>
    <col min="13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268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12180466</v>
      </c>
      <c r="M8" s="23">
        <f t="shared" ca="1" si="0"/>
        <v>7796115</v>
      </c>
      <c r="N8" s="23">
        <f t="shared" ca="1" si="0"/>
        <v>2902100.15</v>
      </c>
      <c r="O8" s="22">
        <f t="shared" ref="O8:O16" ca="1" si="1">IF(L8&gt;0,N8*100/L8,0)</f>
        <v>23.825854856456232</v>
      </c>
      <c r="P8" s="22">
        <f t="shared" ref="P8:P16" ca="1" si="2">IF(M8&gt;0,N8*100/M8,0)</f>
        <v>37.224953069573758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12180466</v>
      </c>
      <c r="M10" s="30">
        <f t="shared" ca="1" si="4"/>
        <v>7796115</v>
      </c>
      <c r="N10" s="30">
        <f t="shared" ca="1" si="4"/>
        <v>2902100.15</v>
      </c>
      <c r="O10" s="29">
        <f t="shared" ca="1" si="1"/>
        <v>23.825854856456232</v>
      </c>
      <c r="P10" s="29">
        <f t="shared" ca="1" si="2"/>
        <v>37.224953069573758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7180466</v>
      </c>
      <c r="M12" s="38">
        <f t="shared" ca="1" si="6"/>
        <v>2796115</v>
      </c>
      <c r="N12" s="38">
        <f t="shared" ca="1" si="6"/>
        <v>2902100.15</v>
      </c>
      <c r="O12" s="38">
        <f t="shared" ca="1" si="1"/>
        <v>40.41659900624834</v>
      </c>
      <c r="P12" s="38">
        <f t="shared" ca="1" si="2"/>
        <v>103.79044316846768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4831766</v>
      </c>
      <c r="M14" s="38">
        <f t="shared" si="8"/>
        <v>0</v>
      </c>
      <c r="N14" s="38">
        <f t="shared" ca="1" si="8"/>
        <v>648897.15</v>
      </c>
      <c r="O14" s="38">
        <f t="shared" ca="1" si="1"/>
        <v>13.429813240127936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5000000</v>
      </c>
      <c r="M16" s="38">
        <f t="shared" ca="1" si="10"/>
        <v>5000000</v>
      </c>
      <c r="N16" s="38">
        <f t="shared" ca="1" si="10"/>
        <v>0</v>
      </c>
      <c r="O16" s="49">
        <f t="shared" ca="1" si="1"/>
        <v>0</v>
      </c>
      <c r="P16" s="49">
        <f t="shared" ca="1" si="2"/>
        <v>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9625065</v>
      </c>
      <c r="M18" s="23">
        <f t="shared" ca="1" si="11"/>
        <v>7796115</v>
      </c>
      <c r="N18" s="23">
        <f t="shared" ca="1" si="11"/>
        <v>2253203</v>
      </c>
      <c r="O18" s="22">
        <f t="shared" ref="O18:O20" ca="1" si="12">IF(L18&gt;0,N18*100/L18,0)</f>
        <v>23.409743206928994</v>
      </c>
      <c r="P18" s="22">
        <f t="shared" ref="P18:P26" ca="1" si="13">IF(M18&gt;0,N18*100/M18,0)</f>
        <v>28.90161317528025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9625065</v>
      </c>
      <c r="M20" s="30">
        <f t="shared" ca="1" si="15"/>
        <v>7796115</v>
      </c>
      <c r="N20" s="30">
        <f t="shared" ca="1" si="15"/>
        <v>2253203</v>
      </c>
      <c r="O20" s="29">
        <f t="shared" ca="1" si="12"/>
        <v>23.409743206928994</v>
      </c>
      <c r="P20" s="29">
        <f t="shared" ca="1" si="13"/>
        <v>28.90161317528025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4625065</v>
      </c>
      <c r="M22" s="41">
        <f t="shared" ca="1" si="18"/>
        <v>2796115</v>
      </c>
      <c r="N22" s="38">
        <f t="shared" ca="1" si="18"/>
        <v>2253203</v>
      </c>
      <c r="O22" s="38">
        <f t="shared" ca="1" si="17"/>
        <v>48.717218028287171</v>
      </c>
      <c r="P22" s="38">
        <f t="shared" ca="1" si="13"/>
        <v>80.583345105619756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2276365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5000000</v>
      </c>
      <c r="M26" s="49">
        <f t="shared" ca="1" si="22"/>
        <v>5000000</v>
      </c>
      <c r="N26" s="49">
        <f t="shared" ca="1" si="22"/>
        <v>0</v>
      </c>
      <c r="O26" s="49">
        <f t="shared" ca="1" si="17"/>
        <v>0</v>
      </c>
      <c r="P26" s="49">
        <f t="shared" ca="1" si="13"/>
        <v>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2555401</v>
      </c>
      <c r="M28" s="23">
        <f t="shared" si="23"/>
        <v>0</v>
      </c>
      <c r="N28" s="23">
        <f t="shared" ca="1" si="23"/>
        <v>648897.15</v>
      </c>
      <c r="O28" s="22">
        <f t="shared" ref="O28:O30" ca="1" si="24">IF(L28&gt;0,N28*100/L28,0)</f>
        <v>25.393163343052617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2555401</v>
      </c>
      <c r="M30" s="30">
        <f t="shared" si="27"/>
        <v>0</v>
      </c>
      <c r="N30" s="30">
        <f t="shared" ca="1" si="27"/>
        <v>648897.15</v>
      </c>
      <c r="O30" s="29">
        <f t="shared" ca="1" si="24"/>
        <v>25.393163343052617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2555401</v>
      </c>
      <c r="M32" s="38">
        <f t="shared" si="30"/>
        <v>0</v>
      </c>
      <c r="N32" s="38">
        <f t="shared" ca="1" si="30"/>
        <v>648897.15</v>
      </c>
      <c r="O32" s="38">
        <f t="shared" ca="1" si="29"/>
        <v>25.393163343052617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2555401</v>
      </c>
      <c r="M34" s="38">
        <f t="shared" si="32"/>
        <v>0</v>
      </c>
      <c r="N34" s="38">
        <f t="shared" ca="1" si="32"/>
        <v>648897.15</v>
      </c>
      <c r="O34" s="38">
        <f t="shared" ca="1" si="29"/>
        <v>25.393163343052617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9625065</v>
      </c>
      <c r="M37" s="54">
        <f t="shared" ca="1" si="33"/>
        <v>7796115</v>
      </c>
      <c r="N37" s="54">
        <f t="shared" ca="1" si="33"/>
        <v>2253203</v>
      </c>
      <c r="O37" s="55">
        <f t="shared" ca="1" si="29"/>
        <v>23.409743206928994</v>
      </c>
      <c r="P37" s="55">
        <f t="shared" ca="1" si="25"/>
        <v>28.90161317528025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804100</v>
      </c>
      <c r="M41" s="78">
        <f t="shared" ca="1" si="34"/>
        <v>402100</v>
      </c>
      <c r="N41" s="78">
        <f t="shared" ca="1" si="34"/>
        <v>368345</v>
      </c>
      <c r="O41" s="77">
        <f t="shared" ref="O41:O43" ca="1" si="35">IF(L41&gt;0,N41*100/L41,0)</f>
        <v>45.80835716950628</v>
      </c>
      <c r="P41" s="77">
        <f t="shared" ref="P41:P43" ca="1" si="36">IF(M41&gt;0,N41*100/M41,0)</f>
        <v>91.605322059189263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804100</v>
      </c>
      <c r="M43" s="78">
        <f t="shared" ca="1" si="38"/>
        <v>402100</v>
      </c>
      <c r="N43" s="78">
        <f t="shared" ca="1" si="38"/>
        <v>368345</v>
      </c>
      <c r="O43" s="77">
        <f t="shared" ca="1" si="35"/>
        <v>45.80835716950628</v>
      </c>
      <c r="P43" s="77">
        <f t="shared" ca="1" si="36"/>
        <v>91.605322059189263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IFERROR(__xludf.DUMMYFUNCTION("IMPORTRANGE(""https://docs.google.com/spreadsheets/d/1Yj_ptqi66GCucihVvJfMjLAmec39IyEx_6qawtMGysU/edit?usp=sharing"",""สบก!Q74"")"),402100)</f>
        <v>402100</v>
      </c>
      <c r="N45" s="49">
        <f ca="1">IFERROR(__xludf.DUMMYFUNCTION("IMPORTRANGE(""https://docs.google.com/spreadsheets/d/1Yj_ptqi66GCucihVvJfMjLAmec39IyEx_6qawtMGysU/edit?usp=sharing"",""สบก!R74"")"),368345)</f>
        <v>368345</v>
      </c>
      <c r="O45" s="38">
        <f ca="1">IF(L45&gt;0,N45*100/L45,0)</f>
        <v>45.80835716950628</v>
      </c>
      <c r="P45" s="38">
        <f ca="1">IF(M45&gt;0,N45*100/M45,0)</f>
        <v>91.605322059189263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IFERROR(__xludf.DUMMYFUNCTION("IMPORTRANGE(""https://docs.google.com/spreadsheets/d/1Yj_ptqi66GCucihVvJfMjLAmec39IyEx_6qawtMGysU/edit?usp=sharing"",""สบก!O74"")"),0)</f>
        <v>0</v>
      </c>
      <c r="M49" s="49"/>
      <c r="N49" s="49">
        <f ca="1">IFERROR(__xludf.DUMMYFUNCTION("IMPORTRANGE(""https://docs.google.com/spreadsheets/d/1Yj_ptqi66GCucihVvJfMjLAmec39IyEx_6qawtMGysU/edit?usp=sharing"",""สบก!S74"")"),0)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312220</v>
      </c>
      <c r="N53" s="121">
        <f t="shared" ca="1" si="39"/>
        <v>295732</v>
      </c>
      <c r="O53" s="120">
        <f t="shared" ref="O53:O55" ca="1" si="40">IF(L53&gt;0,N53*100/L53,0)</f>
        <v>48.881322314049584</v>
      </c>
      <c r="P53" s="120">
        <f t="shared" ref="P53:P55" ca="1" si="41">IF(M53&gt;0,N53*100/M53,0)</f>
        <v>94.719108321055671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312220</v>
      </c>
      <c r="N55" s="121">
        <f t="shared" ca="1" si="43"/>
        <v>295732</v>
      </c>
      <c r="O55" s="120">
        <f t="shared" ca="1" si="40"/>
        <v>48.881322314049584</v>
      </c>
      <c r="P55" s="120">
        <f t="shared" ca="1" si="41"/>
        <v>94.719108321055671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IFERROR(__xludf.DUMMYFUNCTION("IMPORTRANGE(""https://docs.google.com/spreadsheets/d/1Yj_ptqi66GCucihVvJfMjLAmec39IyEx_6qawtMGysU/edit?usp=sharing"",""สบก!Z74"")"),312220)</f>
        <v>312220</v>
      </c>
      <c r="N57" s="49">
        <f ca="1">IFERROR(__xludf.DUMMYFUNCTION("IMPORTRANGE(""https://docs.google.com/spreadsheets/d/1Yj_ptqi66GCucihVvJfMjLAmec39IyEx_6qawtMGysU/edit?usp=sharing"",""สบก!AA74"")"),295732)</f>
        <v>295732</v>
      </c>
      <c r="O57" s="38">
        <f ca="1">IF(L57&gt;0,N57*100/L57,0)</f>
        <v>48.881322314049584</v>
      </c>
      <c r="P57" s="38">
        <f ca="1">IF(M57&gt;0,N57*100/M57,0)</f>
        <v>94.719108321055671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6817200</v>
      </c>
      <c r="M66" s="152">
        <f t="shared" ca="1" si="45"/>
        <v>6281100</v>
      </c>
      <c r="N66" s="152">
        <f t="shared" ca="1" si="45"/>
        <v>1011024</v>
      </c>
      <c r="O66" s="151">
        <f t="shared" ref="O66:O68" ca="1" si="46">IF(L66&gt;0,N66*100/L66,0)</f>
        <v>14.830487590212991</v>
      </c>
      <c r="P66" s="151">
        <f t="shared" ref="P66:P68" ca="1" si="47">IF(M66&gt;0,N66*100/M66,0)</f>
        <v>16.096288866599799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6817200</v>
      </c>
      <c r="M68" s="157">
        <f t="shared" ca="1" si="49"/>
        <v>6281100</v>
      </c>
      <c r="N68" s="157">
        <f t="shared" ca="1" si="49"/>
        <v>1011024</v>
      </c>
      <c r="O68" s="156">
        <f t="shared" ca="1" si="46"/>
        <v>14.830487590212991</v>
      </c>
      <c r="P68" s="156">
        <f t="shared" ca="1" si="47"/>
        <v>16.096288866599799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1817200</v>
      </c>
      <c r="M70" s="169">
        <f ca="1">IFERROR(__xludf.DUMMYFUNCTION("IMPORTRANGE(""https://docs.google.com/spreadsheets/d/1Yj_ptqi66GCucihVvJfMjLAmec39IyEx_6qawtMGysU/edit?usp=sharing"",""สบก!AI74"")"),1281100)</f>
        <v>1281100</v>
      </c>
      <c r="N70" s="170">
        <f ca="1">IFERROR(__xludf.DUMMYFUNCTION("IMPORTRANGE(""https://docs.google.com/spreadsheets/d/1Yj_ptqi66GCucihVvJfMjLAmec39IyEx_6qawtMGysU/edit?usp=sharing"",""สบก!AJ74"")"),1011024)</f>
        <v>1011024</v>
      </c>
      <c r="O70" s="170">
        <f ca="1">IF(L70&gt;0,N70*100/L70,0)</f>
        <v>55.636363636363633</v>
      </c>
      <c r="P70" s="170">
        <f ca="1">IF(M70&gt;0,N70*100/M70,0)</f>
        <v>78.918429474670205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IFERROR(__xludf.DUMMYFUNCTION("IMPORTRANGE(""https://docs.google.com/spreadsheets/d/1Yj_ptqi66GCucihVvJfMjLAmec39IyEx_6qawtMGysU/edit?usp=sharing"",""สบก!AE74"")"),439200)</f>
        <v>439200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IFERROR(__xludf.DUMMYFUNCTION("IMPORTRANGE(""https://docs.google.com/spreadsheets/d/1Yj_ptqi66GCucihVvJfMjLAmec39IyEx_6qawtMGysU/edit?usp=sharing"",""สบก!AF74"")"),1378000)</f>
        <v>1378000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IFERROR(__xludf.DUMMYFUNCTION("IMPORTRANGE(""https://docs.google.com/spreadsheets/d/1Yj_ptqi66GCucihVvJfMjLAmec39IyEx_6qawtMGysU/edit?usp=sharing"",""สบก!AG74"")"),5000000)</f>
        <v>5000000</v>
      </c>
      <c r="M74" s="49">
        <f ca="1">L74</f>
        <v>5000000</v>
      </c>
      <c r="N74" s="49">
        <f ca="1">IFERROR(__xludf.DUMMYFUNCTION("IMPORTRANGE(""https://docs.google.com/spreadsheets/d/1Yj_ptqi66GCucihVvJfMjLAmec39IyEx_6qawtMGysU/edit?usp=sharing"",""สบก!AK74"")"),0)</f>
        <v>0</v>
      </c>
      <c r="O74" s="49">
        <f ca="1">IF(L74&gt;0,N74*100/L74,0)</f>
        <v>0</v>
      </c>
      <c r="P74" s="49">
        <f ca="1">IF(M74&gt;0,N74*100/M74,0)</f>
        <v>0</v>
      </c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IFERROR(__xludf.DUMMYFUNCTION("IMPORTRANGE(""https://docs.google.com/spreadsheets/d/1SX6NBoVAgQJ6U1MVXOaj8PK2l7WJ3RER9xtqwdhxkhw/edit?usp=sharing"",""ลพบุรี!J16"")"),0)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IFERROR(__xludf.DUMMYFUNCTION("IMPORTRANGE(""https://docs.google.com/spreadsheets/d/1SX6NBoVAgQJ6U1MVXOaj8PK2l7WJ3RER9xtqwdhxkhw/edit?usp=sharing"",""ลพบุรี!J17"")"),1)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IFERROR(__xludf.DUMMYFUNCTION("IMPORTRANGE(""https://docs.google.com/spreadsheets/d/1SX6NBoVAgQJ6U1MVXOaj8PK2l7WJ3RER9xtqwdhxkhw/edit?usp=sharing"",""ลพบุรี!J18"")"),1)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IFERROR(__xludf.DUMMYFUNCTION("IMPORTRANGE(""https://docs.google.com/spreadsheets/d/1SX6NBoVAgQJ6U1MVXOaj8PK2l7WJ3RER9xtqwdhxkhw/edit?usp=sharing"",""ลพบุรี!J19"")"),1)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IFERROR(__xludf.DUMMYFUNCTION("IMPORTRANGE(""https://docs.google.com/spreadsheets/d/1SX6NBoVAgQJ6U1MVXOaj8PK2l7WJ3RER9xtqwdhxkhw/edit?usp=sharing"",""ลพบุรี!I20"")"),2)</f>
        <v>2</v>
      </c>
      <c r="J80" s="202">
        <f ca="1">IFERROR(__xludf.DUMMYFUNCTION("IMPORTRANGE(""https://docs.google.com/spreadsheets/d/1SX6NBoVAgQJ6U1MVXOaj8PK2l7WJ3RER9xtqwdhxkhw/edit?usp=sharing"",""ลพบุรี!J20"")"),2)</f>
        <v>2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IFERROR(__xludf.DUMMYFUNCTION("IMPORTRANGE(""https://docs.google.com/spreadsheets/d/1SX6NBoVAgQJ6U1MVXOaj8PK2l7WJ3RER9xtqwdhxkhw/edit?usp=sharing"",""ลพบุรี!I21"")"),180)</f>
        <v>180</v>
      </c>
      <c r="J81" s="202">
        <f ca="1">IFERROR(__xludf.DUMMYFUNCTION("IMPORTRANGE(""https://docs.google.com/spreadsheets/d/1SX6NBoVAgQJ6U1MVXOaj8PK2l7WJ3RER9xtqwdhxkhw/edit?usp=sharing"",""ลพบุรี!J21"")"),180)</f>
        <v>180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IFERROR(__xludf.DUMMYFUNCTION("IMPORTRANGE(""https://docs.google.com/spreadsheets/d/1SX6NBoVAgQJ6U1MVXOaj8PK2l7WJ3RER9xtqwdhxkhw/edit?usp=sharing"",""ลพบุรี!I22"")"),1)</f>
        <v>1</v>
      </c>
      <c r="J82" s="205">
        <f ca="1">IFERROR(__xludf.DUMMYFUNCTION("IMPORTRANGE(""https://docs.google.com/spreadsheets/d/1SX6NBoVAgQJ6U1MVXOaj8PK2l7WJ3RER9xtqwdhxkhw/edit?usp=sharing"",""ลพบุรี!J22"")"),1)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IFERROR(__xludf.DUMMYFUNCTION("IMPORTRANGE(""https://docs.google.com/spreadsheets/d/1SX6NBoVAgQJ6U1MVXOaj8PK2l7WJ3RER9xtqwdhxkhw/edit?usp=sharing"",""ลพบุรี!I23"")"),80)</f>
        <v>80</v>
      </c>
      <c r="J83" s="205">
        <f ca="1">IFERROR(__xludf.DUMMYFUNCTION("IMPORTRANGE(""https://docs.google.com/spreadsheets/d/1SX6NBoVAgQJ6U1MVXOaj8PK2l7WJ3RER9xtqwdhxkhw/edit?usp=sharing"",""ลพบุรี!J23"")"),80)</f>
        <v>80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IFERROR(__xludf.DUMMYFUNCTION("IMPORTRANGE(""https://docs.google.com/spreadsheets/d/1SX6NBoVAgQJ6U1MVXOaj8PK2l7WJ3RER9xtqwdhxkhw/edit?usp=sharing"",""ลพบุรี!I24"")"),1)</f>
        <v>1</v>
      </c>
      <c r="J84" s="190">
        <f ca="1">IFERROR(__xludf.DUMMYFUNCTION("IMPORTRANGE(""https://docs.google.com/spreadsheets/d/1SX6NBoVAgQJ6U1MVXOaj8PK2l7WJ3RER9xtqwdhxkhw/edit?usp=sharing"",""ลพบุรี!J24"")"),1)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IFERROR(__xludf.DUMMYFUNCTION("IMPORTRANGE(""https://docs.google.com/spreadsheets/d/1SX6NBoVAgQJ6U1MVXOaj8PK2l7WJ3RER9xtqwdhxkhw/edit?usp=sharing"",""ลพบุรี!I25"")"),100)</f>
        <v>100</v>
      </c>
      <c r="J85" s="190">
        <f ca="1">IFERROR(__xludf.DUMMYFUNCTION("IMPORTRANGE(""https://docs.google.com/spreadsheets/d/1SX6NBoVAgQJ6U1MVXOaj8PK2l7WJ3RER9xtqwdhxkhw/edit?usp=sharing"",""ลพบุรี!J25"")"),100)</f>
        <v>100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IFERROR(__xludf.DUMMYFUNCTION("IMPORTRANGE(""https://docs.google.com/spreadsheets/d/1SX6NBoVAgQJ6U1MVXOaj8PK2l7WJ3RER9xtqwdhxkhw/edit?usp=sharing"",""ลพบุรี!I26"")"),0)</f>
        <v>0</v>
      </c>
      <c r="J86" s="205">
        <f ca="1">IFERROR(__xludf.DUMMYFUNCTION("IMPORTRANGE(""https://docs.google.com/spreadsheets/d/1SX6NBoVAgQJ6U1MVXOaj8PK2l7WJ3RER9xtqwdhxkhw/edit?usp=sharing"",""ลพบุรี!J26"")"),0)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IFERROR(__xludf.DUMMYFUNCTION("IMPORTRANGE(""https://docs.google.com/spreadsheets/d/1SX6NBoVAgQJ6U1MVXOaj8PK2l7WJ3RER9xtqwdhxkhw/edit?usp=sharing"",""ลพบุรี!I27"")"),0)</f>
        <v>0</v>
      </c>
      <c r="J87" s="205">
        <f ca="1">IFERROR(__xludf.DUMMYFUNCTION("IMPORTRANGE(""https://docs.google.com/spreadsheets/d/1SX6NBoVAgQJ6U1MVXOaj8PK2l7WJ3RER9xtqwdhxkhw/edit?usp=sharing"",""ลพบุรี!J27"")"),0)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IFERROR(__xludf.DUMMYFUNCTION("IMPORTRANGE(""https://docs.google.com/spreadsheets/d/1SX6NBoVAgQJ6U1MVXOaj8PK2l7WJ3RER9xtqwdhxkhw/edit?usp=sharing"",""ลพบุรี!I28"")"),80)</f>
        <v>80</v>
      </c>
      <c r="J88" s="205">
        <f ca="1">IFERROR(__xludf.DUMMYFUNCTION("IMPORTRANGE(""https://docs.google.com/spreadsheets/d/1SX6NBoVAgQJ6U1MVXOaj8PK2l7WJ3RER9xtqwdhxkhw/edit?usp=sharing"",""ลพบุรี!J28"")"),0)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IFERROR(__xludf.DUMMYFUNCTION("IMPORTRANGE(""https://docs.google.com/spreadsheets/d/1SX6NBoVAgQJ6U1MVXOaj8PK2l7WJ3RER9xtqwdhxkhw/edit?usp=sharing"",""ลพบุรี!J29"")"),0)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IFERROR(__xludf.DUMMYFUNCTION("IMPORTRANGE(""https://docs.google.com/spreadsheets/d/1SX6NBoVAgQJ6U1MVXOaj8PK2l7WJ3RER9xtqwdhxkhw/edit?usp=sharing"",""ลพบุรี!J30"")"),0)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IFERROR(__xludf.DUMMYFUNCTION("IMPORTRANGE(""https://docs.google.com/spreadsheets/d/1Yj_ptqi66GCucihVvJfMjLAmec39IyEx_6qawtMGysU/edit?usp=sharing"",""สบก!AR74"")"),0)</f>
        <v>0</v>
      </c>
      <c r="N98" s="170">
        <f ca="1">IFERROR(__xludf.DUMMYFUNCTION("IMPORTRANGE(""https://docs.google.com/spreadsheets/d/1Yj_ptqi66GCucihVvJfMjLAmec39IyEx_6qawtMGysU/edit?usp=sharing"",""สบก!AS74"")"),0)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IFERROR(__xludf.DUMMYFUNCTION("IMPORTRANGE(""https://docs.google.com/spreadsheets/d/1Yj_ptqi66GCucihVvJfMjLAmec39IyEx_6qawtMGysU/edit?usp=sharing"",""สบก!AN74"")"),0)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IFERROR(__xludf.DUMMYFUNCTION("IMPORTRANGE(""https://docs.google.com/spreadsheets/d/1Yj_ptqi66GCucihVvJfMjLAmec39IyEx_6qawtMGysU/edit?usp=sharing"",""สบก!AO74"")"),0)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IFERROR(__xludf.DUMMYFUNCTION("IMPORTRANGE(""https://docs.google.com/spreadsheets/d/1SX6NBoVAgQJ6U1MVXOaj8PK2l7WJ3RER9xtqwdhxkhw/edit?usp=sharing"",""ลพบุรี!I43"")"),0)</f>
        <v>0</v>
      </c>
      <c r="J108" s="205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IFERROR(__xludf.DUMMYFUNCTION("IMPORTRANGE(""https://docs.google.com/spreadsheets/d/1SX6NBoVAgQJ6U1MVXOaj8PK2l7WJ3RER9xtqwdhxkhw/edit?usp=sharing"",""ลพบุรี!I44"")"),0)</f>
        <v>0</v>
      </c>
      <c r="J109" s="205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IFERROR(__xludf.DUMMYFUNCTION("IMPORTRANGE(""https://docs.google.com/spreadsheets/d/1SX6NBoVAgQJ6U1MVXOaj8PK2l7WJ3RER9xtqwdhxkhw/edit?usp=sharing"",""ลพบุรี!I45"")"),0)</f>
        <v>0</v>
      </c>
      <c r="J110" s="205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IFERROR(__xludf.DUMMYFUNCTION("IMPORTRANGE(""https://docs.google.com/spreadsheets/d/1SX6NBoVAgQJ6U1MVXOaj8PK2l7WJ3RER9xtqwdhxkhw/edit?usp=sharing"",""ลพบุรี!I46"")"),0)</f>
        <v>0</v>
      </c>
      <c r="J111" s="205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IFERROR(__xludf.DUMMYFUNCTION("IMPORTRANGE(""https://docs.google.com/spreadsheets/d/1SX6NBoVAgQJ6U1MVXOaj8PK2l7WJ3RER9xtqwdhxkhw/edit?usp=sharing"",""ลพบุรี!I47"")"),0)</f>
        <v>0</v>
      </c>
      <c r="J112" s="205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IFERROR(__xludf.DUMMYFUNCTION("IMPORTRANGE(""https://docs.google.com/spreadsheets/d/1SX6NBoVAgQJ6U1MVXOaj8PK2l7WJ3RER9xtqwdhxkhw/edit?usp=sharing"",""ลพบุรี!I48"")"),0)</f>
        <v>0</v>
      </c>
      <c r="J113" s="205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64890</v>
      </c>
      <c r="M118" s="152">
        <f t="shared" ca="1" si="58"/>
        <v>52890</v>
      </c>
      <c r="N118" s="152">
        <f t="shared" ca="1" si="58"/>
        <v>18824</v>
      </c>
      <c r="O118" s="151">
        <f t="shared" ref="O118:O120" ca="1" si="59">IF(L118&gt;0,N118*100/L118,0)</f>
        <v>29.009092310063185</v>
      </c>
      <c r="P118" s="151">
        <f t="shared" ref="P118:P120" ca="1" si="60">IF(M118&gt;0,N118*100/M118,0)</f>
        <v>35.590848931745128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64890</v>
      </c>
      <c r="M120" s="157">
        <f t="shared" ca="1" si="62"/>
        <v>52890</v>
      </c>
      <c r="N120" s="157">
        <f t="shared" ca="1" si="62"/>
        <v>18824</v>
      </c>
      <c r="O120" s="156">
        <f t="shared" ca="1" si="59"/>
        <v>29.009092310063185</v>
      </c>
      <c r="P120" s="156">
        <f t="shared" ca="1" si="60"/>
        <v>35.590848931745128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64890</v>
      </c>
      <c r="M122" s="169">
        <f ca="1">IFERROR(__xludf.DUMMYFUNCTION("IMPORTRANGE(""https://docs.google.com/spreadsheets/d/1Yj_ptqi66GCucihVvJfMjLAmec39IyEx_6qawtMGysU/edit?usp=sharing"",""สบก!BA74"")"),52890)</f>
        <v>52890</v>
      </c>
      <c r="N122" s="170">
        <f ca="1">IFERROR(__xludf.DUMMYFUNCTION("IMPORTRANGE(""https://docs.google.com/spreadsheets/d/1Yj_ptqi66GCucihVvJfMjLAmec39IyEx_6qawtMGysU/edit?usp=sharing"",""สบก!BB74"")"),18824)</f>
        <v>18824</v>
      </c>
      <c r="O122" s="170">
        <f ca="1">IF(L122&gt;0,N122*100/L122,0)</f>
        <v>29.009092310063185</v>
      </c>
      <c r="P122" s="170">
        <f ca="1">IF(M122&gt;0,N122*100/M122,0)</f>
        <v>35.590848931745128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IFERROR(__xludf.DUMMYFUNCTION("IMPORTRANGE(""https://docs.google.com/spreadsheets/d/1Yj_ptqi66GCucihVvJfMjLAmec39IyEx_6qawtMGysU/edit?usp=sharing"",""สบก!AW74"")"),0)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IFERROR(__xludf.DUMMYFUNCTION("IMPORTRANGE(""https://docs.google.com/spreadsheets/d/1Yj_ptqi66GCucihVvJfMjLAmec39IyEx_6qawtMGysU/edit?usp=sharing"",""สบก!AX74"")"),64890)</f>
        <v>64890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269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IFERROR(__xludf.DUMMYFUNCTION("IMPORTRANGE(""https://docs.google.com/spreadsheets/d/1SX6NBoVAgQJ6U1MVXOaj8PK2l7WJ3RER9xtqwdhxkhw/edit?usp=sharing"",""ลพบุรี!J59"")"),1)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IFERROR(__xludf.DUMMYFUNCTION("IMPORTRANGE(""https://docs.google.com/spreadsheets/d/1SX6NBoVAgQJ6U1MVXOaj8PK2l7WJ3RER9xtqwdhxkhw/edit?usp=sharing"",""ลพบุรี!J60"")"),1)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IFERROR(__xludf.DUMMYFUNCTION("IMPORTRANGE(""https://docs.google.com/spreadsheets/d/1SX6NBoVAgQJ6U1MVXOaj8PK2l7WJ3RER9xtqwdhxkhw/edit?usp=sharing"",""ลพบุรี!J61"")"),1)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IFERROR(__xludf.DUMMYFUNCTION("IMPORTRANGE(""https://docs.google.com/spreadsheets/d/1SX6NBoVAgQJ6U1MVXOaj8PK2l7WJ3RER9xtqwdhxkhw/edit?usp=sharing"",""ลพบุรี!I62"")"),15)</f>
        <v>15</v>
      </c>
      <c r="J132" s="205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IFERROR(__xludf.DUMMYFUNCTION("IMPORTRANGE(""https://docs.google.com/spreadsheets/d/1SX6NBoVAgQJ6U1MVXOaj8PK2l7WJ3RER9xtqwdhxkhw/edit?usp=sharing"",""ลพบุรี!I63"")"),15)</f>
        <v>15</v>
      </c>
      <c r="J133" s="205">
        <f ca="1">IFERROR(__xludf.DUMMYFUNCTION("IMPORTRANGE(""https://docs.google.com/spreadsheets/d/1SX6NBoVAgQJ6U1MVXOaj8PK2l7WJ3RER9xtqwdhxkhw/edit?usp=sharing"",""ลพบุรี!J63"")"),14)</f>
        <v>14</v>
      </c>
      <c r="K133" s="225">
        <f t="shared" ca="1" si="63"/>
        <v>93.333333333333329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IFERROR(__xludf.DUMMYFUNCTION("IMPORTRANGE(""https://docs.google.com/spreadsheets/d/1SX6NBoVAgQJ6U1MVXOaj8PK2l7WJ3RER9xtqwdhxkhw/edit?usp=sharing"",""ลพบุรี!J64"")"),1)</f>
        <v>1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97500</v>
      </c>
      <c r="M140" s="152">
        <f t="shared" ca="1" si="64"/>
        <v>67750</v>
      </c>
      <c r="N140" s="152">
        <f t="shared" ca="1" si="64"/>
        <v>60150</v>
      </c>
      <c r="O140" s="151">
        <f t="shared" ref="O140:O142" ca="1" si="65">IF(L140&gt;0,N140*100/L140,0)</f>
        <v>61.692307692307693</v>
      </c>
      <c r="P140" s="151">
        <f t="shared" ref="P140:P142" ca="1" si="66">IF(M140&gt;0,N140*100/M140,0)</f>
        <v>88.782287822878232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97500</v>
      </c>
      <c r="M142" s="157">
        <f t="shared" ca="1" si="68"/>
        <v>67750</v>
      </c>
      <c r="N142" s="157">
        <f t="shared" ca="1" si="68"/>
        <v>60150</v>
      </c>
      <c r="O142" s="156">
        <f t="shared" ca="1" si="65"/>
        <v>61.692307692307693</v>
      </c>
      <c r="P142" s="156">
        <f t="shared" ca="1" si="66"/>
        <v>88.782287822878232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97500</v>
      </c>
      <c r="M144" s="169">
        <f ca="1">IFERROR(__xludf.DUMMYFUNCTION("IMPORTRANGE(""https://docs.google.com/spreadsheets/d/1Yj_ptqi66GCucihVvJfMjLAmec39IyEx_6qawtMGysU/edit?usp=sharing"",""สบก!BJ74"")"),67750)</f>
        <v>67750</v>
      </c>
      <c r="N144" s="170">
        <f ca="1">IFERROR(__xludf.DUMMYFUNCTION("IMPORTRANGE(""https://docs.google.com/spreadsheets/d/1Yj_ptqi66GCucihVvJfMjLAmec39IyEx_6qawtMGysU/edit?usp=sharing"",""สบก!BK74"")"),60150)</f>
        <v>60150</v>
      </c>
      <c r="O144" s="170">
        <f ca="1">IF(L144&gt;0,N144*100/L144,0)</f>
        <v>61.692307692307693</v>
      </c>
      <c r="P144" s="170">
        <f ca="1">IF(M144&gt;0,N144*100/M144,0)</f>
        <v>88.782287822878232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IFERROR(__xludf.DUMMYFUNCTION("IMPORTRANGE(""https://docs.google.com/spreadsheets/d/1Yj_ptqi66GCucihVvJfMjLAmec39IyEx_6qawtMGysU/edit?usp=sharing"",""สบก!BF74"")"),0)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IFERROR(__xludf.DUMMYFUNCTION("IMPORTRANGE(""https://docs.google.com/spreadsheets/d/1Yj_ptqi66GCucihVvJfMjLAmec39IyEx_6qawtMGysU/edit?usp=sharing"",""สบก!BG74"")"),97500)</f>
        <v>97500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IFERROR(__xludf.DUMMYFUNCTION("IMPORTRANGE(""https://docs.google.com/spreadsheets/d/1SX6NBoVAgQJ6U1MVXOaj8PK2l7WJ3RER9xtqwdhxkhw/edit?usp=sharing"",""ลพบุรี!J79"")"),1)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IFERROR(__xludf.DUMMYFUNCTION("IMPORTRANGE(""https://docs.google.com/spreadsheets/d/1SX6NBoVAgQJ6U1MVXOaj8PK2l7WJ3RER9xtqwdhxkhw/edit?usp=sharing"",""ลพบุรี!J80"")"),0)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IFERROR(__xludf.DUMMYFUNCTION("IMPORTRANGE(""https://docs.google.com/spreadsheets/d/1SX6NBoVAgQJ6U1MVXOaj8PK2l7WJ3RER9xtqwdhxkhw/edit?usp=sharing"",""ลพบุรี!J81"")"),0)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IFERROR(__xludf.DUMMYFUNCTION("IMPORTRANGE(""https://docs.google.com/spreadsheets/d/1SX6NBoVAgQJ6U1MVXOaj8PK2l7WJ3RER9xtqwdhxkhw/edit?usp=sharing"",""ลพบุรี!J82"")"),0)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IFERROR(__xludf.DUMMYFUNCTION("IMPORTRANGE(""https://docs.google.com/spreadsheets/d/1SX6NBoVAgQJ6U1MVXOaj8PK2l7WJ3RER9xtqwdhxkhw/edit?usp=sharing"",""ลพบุรี!I83"")"),4)</f>
        <v>4</v>
      </c>
      <c r="J158" s="190">
        <f ca="1">IFERROR(__xludf.DUMMYFUNCTION("IMPORTRANGE(""https://docs.google.com/spreadsheets/d/1SX6NBoVAgQJ6U1MVXOaj8PK2l7WJ3RER9xtqwdhxkhw/edit?usp=sharing"",""ลพบุรี!J83"")"),0)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IFERROR(__xludf.DUMMYFUNCTION("IMPORTRANGE(""https://docs.google.com/spreadsheets/d/1SX6NBoVAgQJ6U1MVXOaj8PK2l7WJ3RER9xtqwdhxkhw/edit?usp=sharing"",""ลพบุรี!J84"")"),0)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IFERROR(__xludf.DUMMYFUNCTION("IMPORTRANGE(""https://docs.google.com/spreadsheets/d/1SX6NBoVAgQJ6U1MVXOaj8PK2l7WJ3RER9xtqwdhxkhw/edit?usp=sharing"",""ลพบุรี!J85"")"),0)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IFERROR(__xludf.DUMMYFUNCTION("IMPORTRANGE(""https://docs.google.com/spreadsheets/d/1SX6NBoVAgQJ6U1MVXOaj8PK2l7WJ3RER9xtqwdhxkhw/edit?usp=sharing"",""ลพบุรี!J86"")"),0)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IFERROR(__xludf.DUMMYFUNCTION("IMPORTRANGE(""https://docs.google.com/spreadsheets/d/1SX6NBoVAgQJ6U1MVXOaj8PK2l7WJ3RER9xtqwdhxkhw/edit?usp=sharing"",""ลพบุรี!J87"")"),0)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IFERROR(__xludf.DUMMYFUNCTION("IMPORTRANGE(""https://docs.google.com/spreadsheets/d/1SX6NBoVAgQJ6U1MVXOaj8PK2l7WJ3RER9xtqwdhxkhw/edit?usp=sharing"",""ลพบุรี!J88"")"),0)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IFERROR(__xludf.DUMMYFUNCTION("IMPORTRANGE(""https://docs.google.com/spreadsheets/d/1SX6NBoVAgQJ6U1MVXOaj8PK2l7WJ3RER9xtqwdhxkhw/edit?usp=sharing"",""ลพบุรี!I89"")"),4)</f>
        <v>4</v>
      </c>
      <c r="J164" s="284">
        <f ca="1">IFERROR(__xludf.DUMMYFUNCTION("IMPORTRANGE(""https://docs.google.com/spreadsheets/d/1SX6NBoVAgQJ6U1MVXOaj8PK2l7WJ3RER9xtqwdhxkhw/edit?usp=sharing"",""ลพบุรี!J89"")"),4)</f>
        <v>4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IFERROR(__xludf.DUMMYFUNCTION("IMPORTRANGE(""https://docs.google.com/spreadsheets/d/1SX6NBoVAgQJ6U1MVXOaj8PK2l7WJ3RER9xtqwdhxkhw/edit?usp=sharing"",""ลพบุรี!J94"")"),0)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IFERROR(__xludf.DUMMYFUNCTION("IMPORTRANGE(""https://docs.google.com/spreadsheets/d/1SX6NBoVAgQJ6U1MVXOaj8PK2l7WJ3RER9xtqwdhxkhw/edit?usp=sharing"",""ลพบุรี!J95"")"),0)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IFERROR(__xludf.DUMMYFUNCTION("IMPORTRANGE(""https://docs.google.com/spreadsheets/d/1SX6NBoVAgQJ6U1MVXOaj8PK2l7WJ3RER9xtqwdhxkhw/edit?usp=sharing"",""ลพบุรี!J96"")"),0)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IFERROR(__xludf.DUMMYFUNCTION("IMPORTRANGE(""https://docs.google.com/spreadsheets/d/1SX6NBoVAgQJ6U1MVXOaj8PK2l7WJ3RER9xtqwdhxkhw/edit?usp=sharing"",""ลพบุรี!J97"")"),0)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IFERROR(__xludf.DUMMYFUNCTION("IMPORTRANGE(""https://docs.google.com/spreadsheets/d/1SX6NBoVAgQJ6U1MVXOaj8PK2l7WJ3RER9xtqwdhxkhw/edit?usp=sharing"",""ลพบุรี!I98"")"),4)</f>
        <v>4</v>
      </c>
      <c r="J173" s="190">
        <f ca="1">IFERROR(__xludf.DUMMYFUNCTION("IMPORTRANGE(""https://docs.google.com/spreadsheets/d/1SX6NBoVAgQJ6U1MVXOaj8PK2l7WJ3RER9xtqwdhxkhw/edit?usp=sharing"",""ลพบุรี!J98"")"),4)</f>
        <v>4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IFERROR(__xludf.DUMMYFUNCTION("IMPORTRANGE(""https://docs.google.com/spreadsheets/d/1SX6NBoVAgQJ6U1MVXOaj8PK2l7WJ3RER9xtqwdhxkhw/edit?usp=sharing"",""ลพบุรี!J99"")"),1)</f>
        <v>1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IFERROR(__xludf.DUMMYFUNCTION("IMPORTRANGE(""https://docs.google.com/spreadsheets/d/1SX6NBoVAgQJ6U1MVXOaj8PK2l7WJ3RER9xtqwdhxkhw/edit?usp=sharing"",""ลพบุรี!I101"")"),0)</f>
        <v>0</v>
      </c>
      <c r="J176" s="284">
        <f ca="1">IFERROR(__xludf.DUMMYFUNCTION("IMPORTRANGE(""https://docs.google.com/spreadsheets/d/1SX6NBoVAgQJ6U1MVXOaj8PK2l7WJ3RER9xtqwdhxkhw/edit?usp=sharing"",""ลพบุรี!J101"")"),0)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IFERROR(__xludf.DUMMYFUNCTION("IMPORTRANGE(""https://docs.google.com/spreadsheets/d/1SX6NBoVAgQJ6U1MVXOaj8PK2l7WJ3RER9xtqwdhxkhw/edit?usp=sharing"",""ลพบุรี!I110"")"),0)</f>
        <v>0</v>
      </c>
      <c r="J185" s="205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IFERROR(__xludf.DUMMYFUNCTION("IMPORTRANGE(""https://docs.google.com/spreadsheets/d/1SX6NBoVAgQJ6U1MVXOaj8PK2l7WJ3RER9xtqwdhxkhw/edit?usp=sharing"",""ลพบุรี!I111"")"),0)</f>
        <v>0</v>
      </c>
      <c r="J186" s="205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IFERROR(__xludf.DUMMYFUNCTION("IMPORTRANGE(""https://docs.google.com/spreadsheets/d/1SX6NBoVAgQJ6U1MVXOaj8PK2l7WJ3RER9xtqwdhxkhw/edit?usp=sharing"",""ลพบุรี!I114"")"),100000)</f>
        <v>100000</v>
      </c>
      <c r="J189" s="284">
        <f ca="1">IFERROR(__xludf.DUMMYFUNCTION("IMPORTRANGE(""https://docs.google.com/spreadsheets/d/1SX6NBoVAgQJ6U1MVXOaj8PK2l7WJ3RER9xtqwdhxkhw/edit?usp=sharing"",""ลพบุรี!J114"")"),0)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IFERROR(__xludf.DUMMYFUNCTION("IMPORTRANGE(""https://docs.google.com/spreadsheets/d/1SX6NBoVAgQJ6U1MVXOaj8PK2l7WJ3RER9xtqwdhxkhw/edit?usp=sharing"",""ลพบุรี!J119"")"),1)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IFERROR(__xludf.DUMMYFUNCTION("IMPORTRANGE(""https://docs.google.com/spreadsheets/d/1SX6NBoVAgQJ6U1MVXOaj8PK2l7WJ3RER9xtqwdhxkhw/edit?usp=sharing"",""ลพบุรี!J120"")"),0)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IFERROR(__xludf.DUMMYFUNCTION("IMPORTRANGE(""https://docs.google.com/spreadsheets/d/1SX6NBoVAgQJ6U1MVXOaj8PK2l7WJ3RER9xtqwdhxkhw/edit?usp=sharing"",""ลพบุรี!J121"")"),0)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IFERROR(__xludf.DUMMYFUNCTION("IMPORTRANGE(""https://docs.google.com/spreadsheets/d/1SX6NBoVAgQJ6U1MVXOaj8PK2l7WJ3RER9xtqwdhxkhw/edit?usp=sharing"",""ลพบุรี!J122"")"),0)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IFERROR(__xludf.DUMMYFUNCTION("IMPORTRANGE(""https://docs.google.com/spreadsheets/d/1SX6NBoVAgQJ6U1MVXOaj8PK2l7WJ3RER9xtqwdhxkhw/edit?usp=sharing"",""ลพบุรี!I124"")"),100000)</f>
        <v>100000</v>
      </c>
      <c r="J199" s="190">
        <f ca="1">IFERROR(__xludf.DUMMYFUNCTION("IMPORTRANGE(""https://docs.google.com/spreadsheets/d/1SX6NBoVAgQJ6U1MVXOaj8PK2l7WJ3RER9xtqwdhxkhw/edit?usp=sharing"",""ลพบุรี!J124"")"),0)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IFERROR(__xludf.DUMMYFUNCTION("IMPORTRANGE(""https://docs.google.com/spreadsheets/d/1SX6NBoVAgQJ6U1MVXOaj8PK2l7WJ3RER9xtqwdhxkhw/edit?usp=sharing"",""ลพบุรี!I125"")"),100000)</f>
        <v>100000</v>
      </c>
      <c r="J200" s="190">
        <f ca="1">IFERROR(__xludf.DUMMYFUNCTION("IMPORTRANGE(""https://docs.google.com/spreadsheets/d/1SX6NBoVAgQJ6U1MVXOaj8PK2l7WJ3RER9xtqwdhxkhw/edit?usp=sharing"",""ลพบุรี!J125"")"),0)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IFERROR(__xludf.DUMMYFUNCTION("IMPORTRANGE(""https://docs.google.com/spreadsheets/d/1SX6NBoVAgQJ6U1MVXOaj8PK2l7WJ3RER9xtqwdhxkhw/edit?usp=sharing"",""ลพบุรี!I126"")"),0)</f>
        <v>0</v>
      </c>
      <c r="J201" s="190">
        <f ca="1">IFERROR(__xludf.DUMMYFUNCTION("IMPORTRANGE(""https://docs.google.com/spreadsheets/d/1SX6NBoVAgQJ6U1MVXOaj8PK2l7WJ3RER9xtqwdhxkhw/edit?usp=sharing"",""ลพบุรี!J126"")"),0)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IFERROR(__xludf.DUMMYFUNCTION("IMPORTRANGE(""https://docs.google.com/spreadsheets/d/1SX6NBoVAgQJ6U1MVXOaj8PK2l7WJ3RER9xtqwdhxkhw/edit?usp=sharing"",""ลพบุรี!J127"")"),0)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IFERROR(__xludf.DUMMYFUNCTION("IMPORTRANGE(""https://docs.google.com/spreadsheets/d/1SX6NBoVAgQJ6U1MVXOaj8PK2l7WJ3RER9xtqwdhxkhw/edit?usp=sharing"",""ลพบุรี!J128"")"),0)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IFERROR(__xludf.DUMMYFUNCTION("IMPORTRANGE(""https://docs.google.com/spreadsheets/d/1SX6NBoVAgQJ6U1MVXOaj8PK2l7WJ3RER9xtqwdhxkhw/edit?usp=sharing"",""ลพบุรี!I129"")"),0)</f>
        <v>0</v>
      </c>
      <c r="J204" s="284">
        <f ca="1">IFERROR(__xludf.DUMMYFUNCTION("IMPORTRANGE(""https://docs.google.com/spreadsheets/d/1SX6NBoVAgQJ6U1MVXOaj8PK2l7WJ3RER9xtqwdhxkhw/edit?usp=sharing"",""ลพบุรี!J129"")"),0)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IFERROR(__xludf.DUMMYFUNCTION("IMPORTRANGE(""https://docs.google.com/spreadsheets/d/1SX6NBoVAgQJ6U1MVXOaj8PK2l7WJ3RER9xtqwdhxkhw/edit?usp=sharing"",""ลพบุรี!I138"")"),0)</f>
        <v>0</v>
      </c>
      <c r="J213" s="205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IFERROR(__xludf.DUMMYFUNCTION("IMPORTRANGE(""https://docs.google.com/spreadsheets/d/1SX6NBoVAgQJ6U1MVXOaj8PK2l7WJ3RER9xtqwdhxkhw/edit?usp=sharing"",""ลพบุรี!I140"")"),0)</f>
        <v>0</v>
      </c>
      <c r="J215" s="205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IFERROR(__xludf.DUMMYFUNCTION("IMPORTRANGE(""https://docs.google.com/spreadsheets/d/1SX6NBoVAgQJ6U1MVXOaj8PK2l7WJ3RER9xtqwdhxkhw/edit?usp=sharing"",""ลพบุรี!I141"")"),0)</f>
        <v>0</v>
      </c>
      <c r="J216" s="205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IFERROR(__xludf.DUMMYFUNCTION("IMPORTRANGE(""https://docs.google.com/spreadsheets/d/1Yj_ptqi66GCucihVvJfMjLAmec39IyEx_6qawtMGysU/edit?usp=sharing"",""สบก!BS74"")"),21125)</f>
        <v>21125</v>
      </c>
      <c r="N224" s="170">
        <f ca="1">IFERROR(__xludf.DUMMYFUNCTION("IMPORTRANGE(""https://docs.google.com/spreadsheets/d/1Yj_ptqi66GCucihVvJfMjLAmec39IyEx_6qawtMGysU/edit?usp=sharing"",""สบก!BT74"")"),21125)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IFERROR(__xludf.DUMMYFUNCTION("IMPORTRANGE(""https://docs.google.com/spreadsheets/d/1Yj_ptqi66GCucihVvJfMjLAmec39IyEx_6qawtMGysU/edit?usp=sharing"",""สบก!BO74"")"),0)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IFERROR(__xludf.DUMMYFUNCTION("IMPORTRANGE(""https://docs.google.com/spreadsheets/d/1Yj_ptqi66GCucihVvJfMjLAmec39IyEx_6qawtMGysU/edit?usp=sharing"",""สบก!BP74"")"),21125)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IFERROR(__xludf.DUMMYFUNCTION("IMPORTRANGE(""https://docs.google.com/spreadsheets/d/1SX6NBoVAgQJ6U1MVXOaj8PK2l7WJ3RER9xtqwdhxkhw/edit?usp=sharing"",""ลพบุรี!J151"")"),0)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IFERROR(__xludf.DUMMYFUNCTION("IMPORTRANGE(""https://docs.google.com/spreadsheets/d/1SX6NBoVAgQJ6U1MVXOaj8PK2l7WJ3RER9xtqwdhxkhw/edit?usp=sharing"",""ลพบุรี!J152"")"),0)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IFERROR(__xludf.DUMMYFUNCTION("IMPORTRANGE(""https://docs.google.com/spreadsheets/d/1SX6NBoVAgQJ6U1MVXOaj8PK2l7WJ3RER9xtqwdhxkhw/edit?usp=sharing"",""ลพบุรี!J153"")"),0)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IFERROR(__xludf.DUMMYFUNCTION("IMPORTRANGE(""https://docs.google.com/spreadsheets/d/1SX6NBoVAgQJ6U1MVXOaj8PK2l7WJ3RER9xtqwdhxkhw/edit?usp=sharing"",""ลพบุรี!J154"")"),0)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IFERROR(__xludf.DUMMYFUNCTION("IMPORTRANGE(""https://docs.google.com/spreadsheets/d/1SX6NBoVAgQJ6U1MVXOaj8PK2l7WJ3RER9xtqwdhxkhw/edit?usp=sharing"",""ลพบุรี!I155"")"),15)</f>
        <v>15</v>
      </c>
      <c r="J235" s="190">
        <f ca="1">IFERROR(__xludf.DUMMYFUNCTION("IMPORTRANGE(""https://docs.google.com/spreadsheets/d/1SX6NBoVAgQJ6U1MVXOaj8PK2l7WJ3RER9xtqwdhxkhw/edit?usp=sharing"",""ลพบุรี!J155"")"),15)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IFERROR(__xludf.DUMMYFUNCTION("IMPORTRANGE(""https://docs.google.com/spreadsheets/d/1SX6NBoVAgQJ6U1MVXOaj8PK2l7WJ3RER9xtqwdhxkhw/edit?usp=sharing"",""ลพบุรี!J156"")"),1)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IFERROR(__xludf.DUMMYFUNCTION("IMPORTRANGE(""https://docs.google.com/spreadsheets/d/1SX6NBoVAgQJ6U1MVXOaj8PK2l7WJ3RER9xtqwdhxkhw/edit?usp=sharing"",""ลพบุรี!J157"")"),1)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IFERROR(__xludf.DUMMYFUNCTION("IMPORTRANGE(""https://docs.google.com/spreadsheets/d/1SX6NBoVAgQJ6U1MVXOaj8PK2l7WJ3RER9xtqwdhxkhw/edit?usp=sharing"",""ลพบุรี!J159"")"),"")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IFERROR(__xludf.DUMMYFUNCTION("IMPORTRANGE(""https://docs.google.com/spreadsheets/d/1SX6NBoVAgQJ6U1MVXOaj8PK2l7WJ3RER9xtqwdhxkhw/edit?usp=sharing"",""ลพบุรี!J161"")"),0)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IFERROR(__xludf.DUMMYFUNCTION("IMPORTRANGE(""https://docs.google.com/spreadsheets/d/1SX6NBoVAgQJ6U1MVXOaj8PK2l7WJ3RER9xtqwdhxkhw/edit?usp=sharing"",""ลพบุรี!J162"")"),0)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IFERROR(__xludf.DUMMYFUNCTION("IMPORTRANGE(""https://docs.google.com/spreadsheets/d/1SX6NBoVAgQJ6U1MVXOaj8PK2l7WJ3RER9xtqwdhxkhw/edit?usp=sharing"",""ลพบุรี!J163"")"),0)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IFERROR(__xludf.DUMMYFUNCTION("IMPORTRANGE(""https://docs.google.com/spreadsheets/d/1SX6NBoVAgQJ6U1MVXOaj8PK2l7WJ3RER9xtqwdhxkhw/edit?usp=sharing"",""ลพบุรี!I164"")"),0)</f>
        <v>0</v>
      </c>
      <c r="J244" s="189">
        <f ca="1">IFERROR(__xludf.DUMMYFUNCTION("IMPORTRANGE(""https://docs.google.com/spreadsheets/d/1SX6NBoVAgQJ6U1MVXOaj8PK2l7WJ3RER9xtqwdhxkhw/edit?usp=sharing"",""ลพบุรี!J164"")"),0)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IFERROR(__xludf.DUMMYFUNCTION("IMPORTRANGE(""https://docs.google.com/spreadsheets/d/1SX6NBoVAgQJ6U1MVXOaj8PK2l7WJ3RER9xtqwdhxkhw/edit?usp=sharing"",""ลพบุรี!J165"")"),0)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IFERROR(__xludf.DUMMYFUNCTION("IMPORTRANGE(""https://docs.google.com/spreadsheets/d/1SX6NBoVAgQJ6U1MVXOaj8PK2l7WJ3RER9xtqwdhxkhw/edit?usp=sharing"",""ลพบุรี!I169"")"),25)</f>
        <v>25</v>
      </c>
      <c r="J249" s="316">
        <f ca="1">IFERROR(__xludf.DUMMYFUNCTION("IMPORTRANGE(""https://docs.google.com/spreadsheets/d/1SX6NBoVAgQJ6U1MVXOaj8PK2l7WJ3RER9xtqwdhxkhw/edit?usp=sharing"",""ลพบุรี!J169"")"),25)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199500</v>
      </c>
      <c r="M250" s="152">
        <f t="shared" ca="1" si="77"/>
        <v>97500</v>
      </c>
      <c r="N250" s="152">
        <f t="shared" ca="1" si="77"/>
        <v>84039</v>
      </c>
      <c r="O250" s="151">
        <f t="shared" ref="O250:O252" ca="1" si="78">IF(L250&gt;0,N250*100/L250,0)</f>
        <v>42.124812030075191</v>
      </c>
      <c r="P250" s="151">
        <f t="shared" ref="P250:P252" ca="1" si="79">IF(M250&gt;0,N250*100/M250,0)</f>
        <v>86.193846153846152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199500</v>
      </c>
      <c r="M252" s="157">
        <f t="shared" ca="1" si="81"/>
        <v>97500</v>
      </c>
      <c r="N252" s="157">
        <f t="shared" ca="1" si="81"/>
        <v>84039</v>
      </c>
      <c r="O252" s="156">
        <f t="shared" ca="1" si="78"/>
        <v>42.124812030075191</v>
      </c>
      <c r="P252" s="156">
        <f t="shared" ca="1" si="79"/>
        <v>86.193846153846152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199500</v>
      </c>
      <c r="M254" s="169">
        <f ca="1">IFERROR(__xludf.DUMMYFUNCTION("IMPORTRANGE(""https://docs.google.com/spreadsheets/d/1Yj_ptqi66GCucihVvJfMjLAmec39IyEx_6qawtMGysU/edit?usp=sharing"",""สบก!CB74"")"),97500)</f>
        <v>97500</v>
      </c>
      <c r="N254" s="170">
        <f ca="1">IFERROR(__xludf.DUMMYFUNCTION("IMPORTRANGE(""https://docs.google.com/spreadsheets/d/1Yj_ptqi66GCucihVvJfMjLAmec39IyEx_6qawtMGysU/edit?usp=sharing"",""สบก!CC74"")"),84039)</f>
        <v>84039</v>
      </c>
      <c r="O254" s="170">
        <f ca="1">IF(L254&gt;0,N254*100/L254,0)</f>
        <v>42.124812030075191</v>
      </c>
      <c r="P254" s="170">
        <f ca="1">IF(M254&gt;0,N254*100/M254,0)</f>
        <v>86.193846153846152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IFERROR(__xludf.DUMMYFUNCTION("IMPORTRANGE(""https://docs.google.com/spreadsheets/d/1Yj_ptqi66GCucihVvJfMjLAmec39IyEx_6qawtMGysU/edit?usp=sharing"",""สบก!BX74"")"),0)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IFERROR(__xludf.DUMMYFUNCTION("IMPORTRANGE(""https://docs.google.com/spreadsheets/d/1Yj_ptqi66GCucihVvJfMjLAmec39IyEx_6qawtMGysU/edit?usp=sharing"",""สบก!BY74"")"),199500)</f>
        <v>199500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IFERROR(__xludf.DUMMYFUNCTION("IMPORTRANGE(""https://docs.google.com/spreadsheets/d/1SX6NBoVAgQJ6U1MVXOaj8PK2l7WJ3RER9xtqwdhxkhw/edit?usp=sharing"",""ลพบุรี!J175"")"),0)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IFERROR(__xludf.DUMMYFUNCTION("IMPORTRANGE(""https://docs.google.com/spreadsheets/d/1SX6NBoVAgQJ6U1MVXOaj8PK2l7WJ3RER9xtqwdhxkhw/edit?usp=sharing"",""ลพบุรี!J176"")"),1)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IFERROR(__xludf.DUMMYFUNCTION("IMPORTRANGE(""https://docs.google.com/spreadsheets/d/1SX6NBoVAgQJ6U1MVXOaj8PK2l7WJ3RER9xtqwdhxkhw/edit?usp=sharing"",""ลพบุรี!J177"")"),1)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IFERROR(__xludf.DUMMYFUNCTION("IMPORTRANGE(""https://docs.google.com/spreadsheets/d/1SX6NBoVAgQJ6U1MVXOaj8PK2l7WJ3RER9xtqwdhxkhw/edit?usp=sharing"",""ลพบุรี!J178"")"),1)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IFERROR(__xludf.DUMMYFUNCTION("IMPORTRANGE(""https://docs.google.com/spreadsheets/d/1SX6NBoVAgQJ6U1MVXOaj8PK2l7WJ3RER9xtqwdhxkhw/edit?usp=sharing"",""ลพบุรี!I179"")"),1)</f>
        <v>1</v>
      </c>
      <c r="J264" s="190">
        <f ca="1">IFERROR(__xludf.DUMMYFUNCTION("IMPORTRANGE(""https://docs.google.com/spreadsheets/d/1SX6NBoVAgQJ6U1MVXOaj8PK2l7WJ3RER9xtqwdhxkhw/edit?usp=sharing"",""ลพบุรี!J179"")"),1)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IFERROR(__xludf.DUMMYFUNCTION("IMPORTRANGE(""https://docs.google.com/spreadsheets/d/1SX6NBoVAgQJ6U1MVXOaj8PK2l7WJ3RER9xtqwdhxkhw/edit?usp=sharing"",""ลพบุรี!I180"")"),25)</f>
        <v>25</v>
      </c>
      <c r="J265" s="190">
        <f ca="1">IFERROR(__xludf.DUMMYFUNCTION("IMPORTRANGE(""https://docs.google.com/spreadsheets/d/1SX6NBoVAgQJ6U1MVXOaj8PK2l7WJ3RER9xtqwdhxkhw/edit?usp=sharing"",""ลพบุรี!J180"")"),25)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IFERROR(__xludf.DUMMYFUNCTION("IMPORTRANGE(""https://docs.google.com/spreadsheets/d/1SX6NBoVAgQJ6U1MVXOaj8PK2l7WJ3RER9xtqwdhxkhw/edit?usp=sharing"",""ลพบุรี!I181"")"),25)</f>
        <v>25</v>
      </c>
      <c r="J266" s="190">
        <f ca="1">IFERROR(__xludf.DUMMYFUNCTION("IMPORTRANGE(""https://docs.google.com/spreadsheets/d/1SX6NBoVAgQJ6U1MVXOaj8PK2l7WJ3RER9xtqwdhxkhw/edit?usp=sharing"",""ลพบุรี!J181"")"),0)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IFERROR(__xludf.DUMMYFUNCTION("IMPORTRANGE(""https://docs.google.com/spreadsheets/d/1SX6NBoVAgQJ6U1MVXOaj8PK2l7WJ3RER9xtqwdhxkhw/edit?usp=sharing"",""ลพบุรี!I182"")"),1)</f>
        <v>1</v>
      </c>
      <c r="J267" s="190">
        <f ca="1">IFERROR(__xludf.DUMMYFUNCTION("IMPORTRANGE(""https://docs.google.com/spreadsheets/d/1SX6NBoVAgQJ6U1MVXOaj8PK2l7WJ3RER9xtqwdhxkhw/edit?usp=sharing"",""ลพบุรี!J182"")"),1)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IFERROR(__xludf.DUMMYFUNCTION("IMPORTRANGE(""https://docs.google.com/spreadsheets/d/1SX6NBoVAgQJ6U1MVXOaj8PK2l7WJ3RER9xtqwdhxkhw/edit?usp=sharing"",""ลพบุรี!J183"")"),1)</f>
        <v>1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IFERROR(__xludf.DUMMYFUNCTION("IMPORTRANGE(""https://docs.google.com/spreadsheets/d/1SX6NBoVAgQJ6U1MVXOaj8PK2l7WJ3RER9xtqwdhxkhw/edit?usp=sharing"",""ลพบุรี!J184"")"),0)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IFERROR(__xludf.DUMMYFUNCTION("IMPORTRANGE(""https://docs.google.com/spreadsheets/d/1SX6NBoVAgQJ6U1MVXOaj8PK2l7WJ3RER9xtqwdhxkhw/edit?usp=sharing"",""ลพบุรี!I185"")"),15)</f>
        <v>15</v>
      </c>
      <c r="J270" s="316">
        <f ca="1">IFERROR(__xludf.DUMMYFUNCTION("IMPORTRANGE(""https://docs.google.com/spreadsheets/d/1SX6NBoVAgQJ6U1MVXOaj8PK2l7WJ3RER9xtqwdhxkhw/edit?usp=sharing"",""ลพบุรี!J185"")"),0)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2220</v>
      </c>
      <c r="O271" s="151">
        <f t="shared" ref="O271:O273" ca="1" si="84">IF(L271&gt;0,N271*100/L271,0)</f>
        <v>4.0217391304347823</v>
      </c>
      <c r="P271" s="151">
        <f t="shared" ref="P271:P273" ca="1" si="85">IF(M271&gt;0,N271*100/M271,0)</f>
        <v>6.8837209302325579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2220</v>
      </c>
      <c r="O273" s="156">
        <f t="shared" ca="1" si="84"/>
        <v>4.0217391304347823</v>
      </c>
      <c r="P273" s="156">
        <f t="shared" ca="1" si="85"/>
        <v>6.8837209302325579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IFERROR(__xludf.DUMMYFUNCTION("IMPORTRANGE(""https://docs.google.com/spreadsheets/d/1Yj_ptqi66GCucihVvJfMjLAmec39IyEx_6qawtMGysU/edit?usp=sharing"",""สบก!CK74"")"),32250)</f>
        <v>32250</v>
      </c>
      <c r="N275" s="170">
        <f ca="1">IFERROR(__xludf.DUMMYFUNCTION("IMPORTRANGE(""https://docs.google.com/spreadsheets/d/1Yj_ptqi66GCucihVvJfMjLAmec39IyEx_6qawtMGysU/edit?usp=sharing"",""สบก!CL74"")"),2220)</f>
        <v>2220</v>
      </c>
      <c r="O275" s="170">
        <f ca="1">IF(L275&gt;0,N275*100/L275,0)</f>
        <v>4.0217391304347823</v>
      </c>
      <c r="P275" s="170">
        <f ca="1">IF(M275&gt;0,N275*100/M275,0)</f>
        <v>6.8837209302325579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IFERROR(__xludf.DUMMYFUNCTION("IMPORTRANGE(""https://docs.google.com/spreadsheets/d/1Yj_ptqi66GCucihVvJfMjLAmec39IyEx_6qawtMGysU/edit?usp=sharing"",""สบก!CG74"")"),0)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IFERROR(__xludf.DUMMYFUNCTION("IMPORTRANGE(""https://docs.google.com/spreadsheets/d/1Yj_ptqi66GCucihVvJfMjLAmec39IyEx_6qawtMGysU/edit?usp=sharing"",""สบก!CH74"")"),55200)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IFERROR(__xludf.DUMMYFUNCTION("IMPORTRANGE(""https://docs.google.com/spreadsheets/d/1SX6NBoVAgQJ6U1MVXOaj8PK2l7WJ3RER9xtqwdhxkhw/edit?usp=sharing"",""ลพบุรี!J191"")"),1)</f>
        <v>1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IFERROR(__xludf.DUMMYFUNCTION("IMPORTRANGE(""https://docs.google.com/spreadsheets/d/1SX6NBoVAgQJ6U1MVXOaj8PK2l7WJ3RER9xtqwdhxkhw/edit?usp=sharing"",""ลพบุรี!J192"")"),1)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IFERROR(__xludf.DUMMYFUNCTION("IMPORTRANGE(""https://docs.google.com/spreadsheets/d/1SX6NBoVAgQJ6U1MVXOaj8PK2l7WJ3RER9xtqwdhxkhw/edit?usp=sharing"",""ลพบุรี!J193"")"),0)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IFERROR(__xludf.DUMMYFUNCTION("IMPORTRANGE(""https://docs.google.com/spreadsheets/d/1SX6NBoVAgQJ6U1MVXOaj8PK2l7WJ3RER9xtqwdhxkhw/edit?usp=sharing"",""ลพบุรี!J194"")"),0)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IFERROR(__xludf.DUMMYFUNCTION("IMPORTRANGE(""https://docs.google.com/spreadsheets/d/1SX6NBoVAgQJ6U1MVXOaj8PK2l7WJ3RER9xtqwdhxkhw/edit?usp=sharing"",""ลพบุรี!I195"")"),15)</f>
        <v>15</v>
      </c>
      <c r="J285" s="190">
        <f ca="1">IFERROR(__xludf.DUMMYFUNCTION("IMPORTRANGE(""https://docs.google.com/spreadsheets/d/1SX6NBoVAgQJ6U1MVXOaj8PK2l7WJ3RER9xtqwdhxkhw/edit?usp=sharing"",""ลพบุรี!J195"")"),0)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IFERROR(__xludf.DUMMYFUNCTION("IMPORTRANGE(""https://docs.google.com/spreadsheets/d/1SX6NBoVAgQJ6U1MVXOaj8PK2l7WJ3RER9xtqwdhxkhw/edit?usp=sharing"",""ลพบุรี!J196"")"),0)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IFERROR(__xludf.DUMMYFUNCTION("IMPORTRANGE(""https://docs.google.com/spreadsheets/d/1SX6NBoVAgQJ6U1MVXOaj8PK2l7WJ3RER9xtqwdhxkhw/edit?usp=sharing"",""ลพบุรี!J197"")"),0)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IFERROR(__xludf.DUMMYFUNCTION("IMPORTRANGE(""https://docs.google.com/spreadsheets/d/1SX6NBoVAgQJ6U1MVXOaj8PK2l7WJ3RER9xtqwdhxkhw/edit?usp=sharing"",""ลพบุรี!I199"")"),0)</f>
        <v>0</v>
      </c>
      <c r="J289" s="316">
        <f ca="1">IFERROR(__xludf.DUMMYFUNCTION("IMPORTRANGE(""https://docs.google.com/spreadsheets/d/1SX6NBoVAgQJ6U1MVXOaj8PK2l7WJ3RER9xtqwdhxkhw/edit?usp=sharing"",""ลพบุรี!J199"")"),0)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IFERROR(__xludf.DUMMYFUNCTION("IMPORTRANGE(""https://docs.google.com/spreadsheets/d/1Yj_ptqi66GCucihVvJfMjLAmec39IyEx_6qawtMGysU/edit?usp=sharing"",""สบก!CT74"")"),0)</f>
        <v>0</v>
      </c>
      <c r="N294" s="170">
        <f ca="1">IFERROR(__xludf.DUMMYFUNCTION("IMPORTRANGE(""https://docs.google.com/spreadsheets/d/1Yj_ptqi66GCucihVvJfMjLAmec39IyEx_6qawtMGysU/edit?usp=sharing"",""สบก!CU74"")"),0)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IFERROR(__xludf.DUMMYFUNCTION("IMPORTRANGE(""https://docs.google.com/spreadsheets/d/1Yj_ptqi66GCucihVvJfMjLAmec39IyEx_6qawtMGysU/edit?usp=sharing"",""สบก!CP74"")"),0)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IFERROR(__xludf.DUMMYFUNCTION("IMPORTRANGE(""https://docs.google.com/spreadsheets/d/1Yj_ptqi66GCucihVvJfMjLAmec39IyEx_6qawtMGysU/edit?usp=sharing"",""สบก!CQ74"")"),0)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IFERROR(__xludf.DUMMYFUNCTION("IMPORTRANGE(""https://docs.google.com/spreadsheets/d/1SX6NBoVAgQJ6U1MVXOaj8PK2l7WJ3RER9xtqwdhxkhw/edit?usp=sharing"",""ลพบุรี!I209"")"),0)</f>
        <v>0</v>
      </c>
      <c r="J304" s="205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IFERROR(__xludf.DUMMYFUNCTION("IMPORTRANGE(""https://docs.google.com/spreadsheets/d/1SX6NBoVAgQJ6U1MVXOaj8PK2l7WJ3RER9xtqwdhxkhw/edit?usp=sharing"",""ลพบุรี!I211"")"),0)</f>
        <v>0</v>
      </c>
      <c r="J306" s="205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IFERROR(__xludf.DUMMYFUNCTION("IMPORTRANGE(""https://docs.google.com/spreadsheets/d/1SX6NBoVAgQJ6U1MVXOaj8PK2l7WJ3RER9xtqwdhxkhw/edit?usp=sharing"",""ลพบุรี!I214"")"),0)</f>
        <v>0</v>
      </c>
      <c r="J309" s="333">
        <f ca="1">IFERROR(__xludf.DUMMYFUNCTION("IMPORTRANGE(""https://docs.google.com/spreadsheets/d/1SX6NBoVAgQJ6U1MVXOaj8PK2l7WJ3RER9xtqwdhxkhw/edit?usp=sharing"",""ลพบุรี!J214"")"),0)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IFERROR(__xludf.DUMMYFUNCTION("IMPORTRANGE(""https://docs.google.com/spreadsheets/d/1Yj_ptqi66GCucihVvJfMjLAmec39IyEx_6qawtMGysU/edit?usp=sharing"",""สบก!DC74"")"),0)</f>
        <v>0</v>
      </c>
      <c r="N314" s="170">
        <f ca="1">IFERROR(__xludf.DUMMYFUNCTION("IMPORTRANGE(""https://docs.google.com/spreadsheets/d/1Yj_ptqi66GCucihVvJfMjLAmec39IyEx_6qawtMGysU/edit?usp=sharing"",""สบก!DD74"")"),0)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IFERROR(__xludf.DUMMYFUNCTION("IMPORTRANGE(""https://docs.google.com/spreadsheets/d/1Yj_ptqi66GCucihVvJfMjLAmec39IyEx_6qawtMGysU/edit?usp=sharing"",""สบก!CY74"")"),0)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IFERROR(__xludf.DUMMYFUNCTION("IMPORTRANGE(""https://docs.google.com/spreadsheets/d/1Yj_ptqi66GCucihVvJfMjLAmec39IyEx_6qawtMGysU/edit?usp=sharing"",""สบก!CZ74"")"),0)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IFERROR(__xludf.DUMMYFUNCTION("IMPORTRANGE(""https://docs.google.com/spreadsheets/d/1SX6NBoVAgQJ6U1MVXOaj8PK2l7WJ3RER9xtqwdhxkhw/edit?usp=sharing"",""ลพบุรี!I224"")"),0)</f>
        <v>0</v>
      </c>
      <c r="J324" s="205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IFERROR(__xludf.DUMMYFUNCTION("IMPORTRANGE(""https://docs.google.com/spreadsheets/d/1SX6NBoVAgQJ6U1MVXOaj8PK2l7WJ3RER9xtqwdhxkhw/edit?usp=sharing"",""ลพบุรี!I228"")"),170)</f>
        <v>170</v>
      </c>
      <c r="J328" s="339">
        <f ca="1">IFERROR(__xludf.DUMMYFUNCTION("IMPORTRANGE(""https://docs.google.com/spreadsheets/d/1SX6NBoVAgQJ6U1MVXOaj8PK2l7WJ3RER9xtqwdhxkhw/edit?usp=sharing"",""ลพบุรี!J228"")"),54)</f>
        <v>54</v>
      </c>
      <c r="K328" s="317">
        <f ca="1">IF(I328&gt;0,J328*100/I328,0)</f>
        <v>31.764705882352942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960550</v>
      </c>
      <c r="M329" s="152">
        <f t="shared" ca="1" si="98"/>
        <v>529180</v>
      </c>
      <c r="N329" s="152">
        <f t="shared" ca="1" si="98"/>
        <v>391744</v>
      </c>
      <c r="O329" s="151">
        <f t="shared" ref="O329:O331" ca="1" si="99">IF(L329&gt;0,N329*100/L329,0)</f>
        <v>40.783301233668212</v>
      </c>
      <c r="P329" s="151">
        <f t="shared" ref="P329:P331" ca="1" si="100">IF(M329&gt;0,N329*100/M329,0)</f>
        <v>74.028496919762645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960550</v>
      </c>
      <c r="M331" s="157">
        <f t="shared" ca="1" si="102"/>
        <v>529180</v>
      </c>
      <c r="N331" s="157">
        <f t="shared" ca="1" si="102"/>
        <v>391744</v>
      </c>
      <c r="O331" s="156">
        <f t="shared" ca="1" si="99"/>
        <v>40.783301233668212</v>
      </c>
      <c r="P331" s="156">
        <f t="shared" ca="1" si="100"/>
        <v>74.028496919762645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960550</v>
      </c>
      <c r="M333" s="169">
        <f ca="1">IFERROR(__xludf.DUMMYFUNCTION("IMPORTRANGE(""https://docs.google.com/spreadsheets/d/1Yj_ptqi66GCucihVvJfMjLAmec39IyEx_6qawtMGysU/edit?usp=sharing"",""สบก!DL74"")"),529180)</f>
        <v>529180</v>
      </c>
      <c r="N333" s="170">
        <f ca="1">IFERROR(__xludf.DUMMYFUNCTION("IMPORTRANGE(""https://docs.google.com/spreadsheets/d/1Yj_ptqi66GCucihVvJfMjLAmec39IyEx_6qawtMGysU/edit?usp=sharing"",""สบก!DM74"")"),391744)</f>
        <v>391744</v>
      </c>
      <c r="O333" s="170">
        <f ca="1">IF(L333&gt;0,N333*100/L333,0)</f>
        <v>40.783301233668212</v>
      </c>
      <c r="P333" s="170">
        <f ca="1">IF(M333&gt;0,N333*100/M333,0)</f>
        <v>74.028496919762645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IFERROR(__xludf.DUMMYFUNCTION("IMPORTRANGE(""https://docs.google.com/spreadsheets/d/1Yj_ptqi66GCucihVvJfMjLAmec39IyEx_6qawtMGysU/edit?usp=sharing"",""สบก!DH74"")"),500400)</f>
        <v>500400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IFERROR(__xludf.DUMMYFUNCTION("IMPORTRANGE(""https://docs.google.com/spreadsheets/d/1Yj_ptqi66GCucihVvJfMjLAmec39IyEx_6qawtMGysU/edit?usp=sharing"",""สบก!DI74"")"),460150)</f>
        <v>460150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IFERROR(__xludf.DUMMYFUNCTION("IMPORTRANGE(""https://docs.google.com/spreadsheets/d/1SX6NBoVAgQJ6U1MVXOaj8PK2l7WJ3RER9xtqwdhxkhw/edit?usp=sharing"",""ลพบุรี!I234"")"),0)</f>
        <v>0</v>
      </c>
      <c r="J339" s="189">
        <f ca="1">IFERROR(__xludf.DUMMYFUNCTION("IMPORTRANGE(""https://docs.google.com/spreadsheets/d/1SX6NBoVAgQJ6U1MVXOaj8PK2l7WJ3RER9xtqwdhxkhw/edit?usp=sharing"",""ลพบุรี!J234"")"),136)</f>
        <v>136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IFERROR(__xludf.DUMMYFUNCTION("IMPORTRANGE(""https://docs.google.com/spreadsheets/d/1SX6NBoVAgQJ6U1MVXOaj8PK2l7WJ3RER9xtqwdhxkhw/edit?usp=sharing"",""ลพบุรี!I235"")"),3250)</f>
        <v>3250</v>
      </c>
      <c r="J340" s="189">
        <f ca="1">IFERROR(__xludf.DUMMYFUNCTION("IMPORTRANGE(""https://docs.google.com/spreadsheets/d/1SX6NBoVAgQJ6U1MVXOaj8PK2l7WJ3RER9xtqwdhxkhw/edit?usp=sharing"",""ลพบุรี!J235"")"),1460.05)</f>
        <v>1460.05</v>
      </c>
      <c r="K340" s="342">
        <f t="shared" ca="1" si="103"/>
        <v>44.924615384615386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IFERROR(__xludf.DUMMYFUNCTION("IMPORTRANGE(""https://docs.google.com/spreadsheets/d/1SX6NBoVAgQJ6U1MVXOaj8PK2l7WJ3RER9xtqwdhxkhw/edit?usp=sharing"",""ลพบุรี!I236"")"),170)</f>
        <v>170</v>
      </c>
      <c r="J341" s="189">
        <f ca="1">IFERROR(__xludf.DUMMYFUNCTION("IMPORTRANGE(""https://docs.google.com/spreadsheets/d/1SX6NBoVAgQJ6U1MVXOaj8PK2l7WJ3RER9xtqwdhxkhw/edit?usp=sharing"",""ลพบุรี!J236"")"),143)</f>
        <v>143</v>
      </c>
      <c r="K341" s="342">
        <f t="shared" ca="1" si="103"/>
        <v>84.117647058823536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9">
        <f ca="1">IFERROR(__xludf.DUMMYFUNCTION("IMPORTRANGE(""https://docs.google.com/spreadsheets/d/1SX6NBoVAgQJ6U1MVXOaj8PK2l7WJ3RER9xtqwdhxkhw/edit?usp=sharing"",""ลพบุรี!J237"")"),1809.18999999999)</f>
        <v>1809.1899999999901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IFERROR(__xludf.DUMMYFUNCTION("IMPORTRANGE(""https://docs.google.com/spreadsheets/d/1SX6NBoVAgQJ6U1MVXOaj8PK2l7WJ3RER9xtqwdhxkhw/edit?usp=sharing"",""ลพบุรี!I238"")"),170)</f>
        <v>170</v>
      </c>
      <c r="J343" s="189">
        <f ca="1">IFERROR(__xludf.DUMMYFUNCTION("IMPORTRANGE(""https://docs.google.com/spreadsheets/d/1SX6NBoVAgQJ6U1MVXOaj8PK2l7WJ3RER9xtqwdhxkhw/edit?usp=sharing"",""ลพบุรี!J238"")"),34)</f>
        <v>34</v>
      </c>
      <c r="K343" s="342">
        <f t="shared" ca="1" si="103"/>
        <v>20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9">
        <f ca="1">IFERROR(__xludf.DUMMYFUNCTION("IMPORTRANGE(""https://docs.google.com/spreadsheets/d/1SX6NBoVAgQJ6U1MVXOaj8PK2l7WJ3RER9xtqwdhxkhw/edit?usp=sharing"",""ลพบุรี!J239"")"),397.31)</f>
        <v>397.31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IFERROR(__xludf.DUMMYFUNCTION("IMPORTRANGE(""https://docs.google.com/spreadsheets/d/1SX6NBoVAgQJ6U1MVXOaj8PK2l7WJ3RER9xtqwdhxkhw/edit?usp=sharing"",""ลพบุรี!I240"")"),170)</f>
        <v>170</v>
      </c>
      <c r="J345" s="189">
        <f ca="1">IFERROR(__xludf.DUMMYFUNCTION("IMPORTRANGE(""https://docs.google.com/spreadsheets/d/1SX6NBoVAgQJ6U1MVXOaj8PK2l7WJ3RER9xtqwdhxkhw/edit?usp=sharing"",""ลพบุรี!J240"")"),54)</f>
        <v>54</v>
      </c>
      <c r="K345" s="342">
        <f t="shared" ca="1" si="103"/>
        <v>31.764705882352942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9">
        <f ca="1">IFERROR(__xludf.DUMMYFUNCTION("IMPORTRANGE(""https://docs.google.com/spreadsheets/d/1SX6NBoVAgQJ6U1MVXOaj8PK2l7WJ3RER9xtqwdhxkhw/edit?usp=sharing"",""ลพบุรี!J241"")"),762.79)</f>
        <v>762.79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IFERROR(__xludf.DUMMYFUNCTION("IMPORTRANGE(""https://docs.google.com/spreadsheets/d/1SX6NBoVAgQJ6U1MVXOaj8PK2l7WJ3RER9xtqwdhxkhw/edit?usp=sharing"",""ลพบุรี!L242"")"),2555401)</f>
        <v>2555401</v>
      </c>
      <c r="M347" s="358"/>
      <c r="N347" s="358">
        <f ca="1">IFERROR(__xludf.DUMMYFUNCTION("IMPORTRANGE(""https://docs.google.com/spreadsheets/d/1SX6NBoVAgQJ6U1MVXOaj8PK2l7WJ3RER9xtqwdhxkhw/edit?usp=sharing"",""ลพบุรี!M242"")"),648897.15)</f>
        <v>648897.15</v>
      </c>
      <c r="O347" s="358">
        <f ca="1">+IF(L347&gt;0,N347*100/L347,0)</f>
        <v>25.393163343052617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IFERROR(__xludf.DUMMYFUNCTION("IMPORTRANGE(""https://docs.google.com/spreadsheets/d/1SX6NBoVAgQJ6U1MVXOaj8PK2l7WJ3RER9xtqwdhxkhw/edit?usp=sharing"",""ลพบุรี!M244"")"),63999)</f>
        <v>63999</v>
      </c>
      <c r="O349" s="373">
        <f ca="1">+IF(L349&gt;0,N349*100/L349,0)</f>
        <v>22.132729284825011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IFERROR(__xludf.DUMMYFUNCTION("IMPORTRANGE(""https://docs.google.com/spreadsheets/d/1SX6NBoVAgQJ6U1MVXOaj8PK2l7WJ3RER9xtqwdhxkhw/edit?usp=sharing"",""ลพบุรี!L246"")"),0)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IFERROR(__xludf.DUMMYFUNCTION("IMPORTRANGE(""https://docs.google.com/spreadsheets/d/1SX6NBoVAgQJ6U1MVXOaj8PK2l7WJ3RER9xtqwdhxkhw/edit?usp=sharing"",""ลพบุรี!M246"")"),0)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IFERROR(__xludf.DUMMYFUNCTION("IMPORTRANGE(""https://docs.google.com/spreadsheets/d/1SX6NBoVAgQJ6U1MVXOaj8PK2l7WJ3RER9xtqwdhxkhw/edit?usp=sharing"",""ลพบุรี!L247"")"),289160)</f>
        <v>289160</v>
      </c>
      <c r="M352" s="167"/>
      <c r="N352" s="166">
        <f ca="1">IFERROR(__xludf.DUMMYFUNCTION("IMPORTRANGE(""https://docs.google.com/spreadsheets/d/1SX6NBoVAgQJ6U1MVXOaj8PK2l7WJ3RER9xtqwdhxkhw/edit?usp=sharing"",""ลพบุรี!M247"")"),63999)</f>
        <v>63999</v>
      </c>
      <c r="O352" s="167">
        <f t="shared" ca="1" si="105"/>
        <v>22.132729284825011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IFERROR(__xludf.DUMMYFUNCTION("IMPORTRANGE(""https://docs.google.com/spreadsheets/d/1SX6NBoVAgQJ6U1MVXOaj8PK2l7WJ3RER9xtqwdhxkhw/edit?usp=sharing"",""ลพบุรี!L248"")"),0)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IFERROR(__xludf.DUMMYFUNCTION("IMPORTRANGE(""https://docs.google.com/spreadsheets/d/1SX6NBoVAgQJ6U1MVXOaj8PK2l7WJ3RER9xtqwdhxkhw/edit?usp=sharing"",""ลพบุรี!M248"")"),0)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IFERROR(__xludf.DUMMYFUNCTION("IMPORTRANGE(""https://docs.google.com/spreadsheets/d/1SX6NBoVAgQJ6U1MVXOaj8PK2l7WJ3RER9xtqwdhxkhw/edit?usp=sharing"",""ลพบุรี!L249"")"),289160)</f>
        <v>289160</v>
      </c>
      <c r="M354" s="170"/>
      <c r="N354" s="169">
        <f ca="1">IFERROR(__xludf.DUMMYFUNCTION("IMPORTRANGE(""https://docs.google.com/spreadsheets/d/1SX6NBoVAgQJ6U1MVXOaj8PK2l7WJ3RER9xtqwdhxkhw/edit?usp=sharing"",""ลพบุรี!M249"")"),63999)</f>
        <v>63999</v>
      </c>
      <c r="O354" s="170">
        <f t="shared" ca="1" si="105"/>
        <v>22.132729284825011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IFERROR(__xludf.DUMMYFUNCTION("IMPORTRANGE(""https://docs.google.com/spreadsheets/d/1SX6NBoVAgQJ6U1MVXOaj8PK2l7WJ3RER9xtqwdhxkhw/edit?usp=sharing"",""ลพบุรี!M250"")"),13888)</f>
        <v>13888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IFERROR(__xludf.DUMMYFUNCTION("IMPORTRANGE(""https://docs.google.com/spreadsheets/d/1SX6NBoVAgQJ6U1MVXOaj8PK2l7WJ3RER9xtqwdhxkhw/edit?usp=sharing"",""ลพบุรี!M251"")"),0)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IFERROR(__xludf.DUMMYFUNCTION("IMPORTRANGE(""https://docs.google.com/spreadsheets/d/1SX6NBoVAgQJ6U1MVXOaj8PK2l7WJ3RER9xtqwdhxkhw/edit?usp=sharing"",""ลพบุรี!M252"")"),37611)</f>
        <v>37611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IFERROR(__xludf.DUMMYFUNCTION("IMPORTRANGE(""https://docs.google.com/spreadsheets/d/1SX6NBoVAgQJ6U1MVXOaj8PK2l7WJ3RER9xtqwdhxkhw/edit?usp=sharing"",""ลพบุรี!M253"")"),12500)</f>
        <v>12500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IFERROR(__xludf.DUMMYFUNCTION("IMPORTRANGE(""https://docs.google.com/spreadsheets/d/1SX6NBoVAgQJ6U1MVXOaj8PK2l7WJ3RER9xtqwdhxkhw/edit?usp=sharing"",""ลพบุรี!J255"")"),0)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IFERROR(__xludf.DUMMYFUNCTION("IMPORTRANGE(""https://docs.google.com/spreadsheets/d/1SX6NBoVAgQJ6U1MVXOaj8PK2l7WJ3RER9xtqwdhxkhw/edit?usp=sharing"",""ลพบุรี!J256"")"),1)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IFERROR(__xludf.DUMMYFUNCTION("IMPORTRANGE(""https://docs.google.com/spreadsheets/d/1SX6NBoVAgQJ6U1MVXOaj8PK2l7WJ3RER9xtqwdhxkhw/edit?usp=sharing"",""ลพบุรี!J257"")"),1)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IFERROR(__xludf.DUMMYFUNCTION("IMPORTRANGE(""https://docs.google.com/spreadsheets/d/1SX6NBoVAgQJ6U1MVXOaj8PK2l7WJ3RER9xtqwdhxkhw/edit?usp=sharing"",""ลพบุรี!J258"")"),1)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IFERROR(__xludf.DUMMYFUNCTION("IMPORTRANGE(""https://docs.google.com/spreadsheets/d/1SX6NBoVAgQJ6U1MVXOaj8PK2l7WJ3RER9xtqwdhxkhw/edit?usp=sharing"",""ลพบุรี!J166"")"),0)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IFERROR(__xludf.DUMMYFUNCTION("IMPORTRANGE(""https://docs.google.com/spreadsheets/d/1SX6NBoVAgQJ6U1MVXOaj8PK2l7WJ3RER9xtqwdhxkhw/edit?usp=sharing"",""ลพบุรี!J166"")"),0)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IFERROR(__xludf.DUMMYFUNCTION("IMPORTRANGE(""https://docs.google.com/spreadsheets/d/1SX6NBoVAgQJ6U1MVXOaj8PK2l7WJ3RER9xtqwdhxkhw/edit?usp=sharing"",""ลพบุรี!J166"")"),0)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IFERROR(__xludf.DUMMYFUNCTION("IMPORTRANGE(""https://docs.google.com/spreadsheets/d/1SX6NBoVAgQJ6U1MVXOaj8PK2l7WJ3RER9xtqwdhxkhw/edit?usp=sharing"",""ลพบุรี!J166"")"),0)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IFERROR(__xludf.DUMMYFUNCTION("IMPORTRANGE(""https://docs.google.com/spreadsheets/d/1SX6NBoVAgQJ6U1MVXOaj8PK2l7WJ3RER9xtqwdhxkhw/edit?usp=sharing"",""ลพบุรี!I263"")"),40)</f>
        <v>40</v>
      </c>
      <c r="J368" s="189">
        <f ca="1">IFERROR(__xludf.DUMMYFUNCTION("IMPORTRANGE(""https://docs.google.com/spreadsheets/d/1SX6NBoVAgQJ6U1MVXOaj8PK2l7WJ3RER9xtqwdhxkhw/edit?usp=sharing"",""ลพบุรี!J263"")"),0)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IFERROR(__xludf.DUMMYFUNCTION("IMPORTRANGE(""https://docs.google.com/spreadsheets/d/1SX6NBoVAgQJ6U1MVXOaj8PK2l7WJ3RER9xtqwdhxkhw/edit?usp=sharing"",""ลพบุรี!I164"")"),0)</f>
        <v>0</v>
      </c>
      <c r="J369" s="205">
        <f ca="1">IFERROR(__xludf.DUMMYFUNCTION("IMPORTRANGE(""https://docs.google.com/spreadsheets/d/1SX6NBoVAgQJ6U1MVXOaj8PK2l7WJ3RER9xtqwdhxkhw/edit?usp=sharing"",""ลพบุรี!J164"")"),0)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IFERROR(__xludf.DUMMYFUNCTION("IMPORTRANGE(""https://docs.google.com/spreadsheets/d/1SX6NBoVAgQJ6U1MVXOaj8PK2l7WJ3RER9xtqwdhxkhw/edit?usp=sharing"",""ลพบุรี!I265"")"),40)</f>
        <v>40</v>
      </c>
      <c r="J370" s="205">
        <f ca="1">IFERROR(__xludf.DUMMYFUNCTION("IMPORTRANGE(""https://docs.google.com/spreadsheets/d/1SX6NBoVAgQJ6U1MVXOaj8PK2l7WJ3RER9xtqwdhxkhw/edit?usp=sharing"",""ลพบุรี!J265"")"),20)</f>
        <v>20</v>
      </c>
      <c r="K370" s="165">
        <f t="shared" ca="1" si="106"/>
        <v>50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IFERROR(__xludf.DUMMYFUNCTION("IMPORTRANGE(""https://docs.google.com/spreadsheets/d/1SX6NBoVAgQJ6U1MVXOaj8PK2l7WJ3RER9xtqwdhxkhw/edit?usp=sharing"",""ลพบุรี!I164"")"),0)</f>
        <v>0</v>
      </c>
      <c r="J371" s="190">
        <f ca="1">IFERROR(__xludf.DUMMYFUNCTION("IMPORTRANGE(""https://docs.google.com/spreadsheets/d/1SX6NBoVAgQJ6U1MVXOaj8PK2l7WJ3RER9xtqwdhxkhw/edit?usp=sharing"",""ลพบุรี!J164"")"),0)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IFERROR(__xludf.DUMMYFUNCTION("IMPORTRANGE(""https://docs.google.com/spreadsheets/d/1SX6NBoVAgQJ6U1MVXOaj8PK2l7WJ3RER9xtqwdhxkhw/edit?usp=sharing"",""ลพบุรี!I267"")"),40)</f>
        <v>40</v>
      </c>
      <c r="J372" s="190">
        <f ca="1">IFERROR(__xludf.DUMMYFUNCTION("IMPORTRANGE(""https://docs.google.com/spreadsheets/d/1SX6NBoVAgQJ6U1MVXOaj8PK2l7WJ3RER9xtqwdhxkhw/edit?usp=sharing"",""ลพบุรี!J267"")"),0)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IFERROR(__xludf.DUMMYFUNCTION("IMPORTRANGE(""https://docs.google.com/spreadsheets/d/1SX6NBoVAgQJ6U1MVXOaj8PK2l7WJ3RER9xtqwdhxkhw/edit?usp=sharing"",""ลพบุรี!I164"")"),0)</f>
        <v>0</v>
      </c>
      <c r="J373" s="205">
        <f ca="1">IFERROR(__xludf.DUMMYFUNCTION("IMPORTRANGE(""https://docs.google.com/spreadsheets/d/1SX6NBoVAgQJ6U1MVXOaj8PK2l7WJ3RER9xtqwdhxkhw/edit?usp=sharing"",""ลพบุรี!J164"")"),0)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IFERROR(__xludf.DUMMYFUNCTION("IMPORTRANGE(""https://docs.google.com/spreadsheets/d/1SX6NBoVAgQJ6U1MVXOaj8PK2l7WJ3RER9xtqwdhxkhw/edit?usp=sharing"",""ลพบุรี!I164"")"),0)</f>
        <v>0</v>
      </c>
      <c r="J374" s="189">
        <f ca="1">IFERROR(__xludf.DUMMYFUNCTION("IMPORTRANGE(""https://docs.google.com/spreadsheets/d/1SX6NBoVAgQJ6U1MVXOaj8PK2l7WJ3RER9xtqwdhxkhw/edit?usp=sharing"",""ลพบุรี!J164"")"),0)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IFERROR(__xludf.DUMMYFUNCTION("IMPORTRANGE(""https://docs.google.com/spreadsheets/d/1SX6NBoVAgQJ6U1MVXOaj8PK2l7WJ3RER9xtqwdhxkhw/edit?usp=sharing"",""ลพบุรี!I270"")"),60)</f>
        <v>60</v>
      </c>
      <c r="J375" s="189">
        <f ca="1">IFERROR(__xludf.DUMMYFUNCTION("IMPORTRANGE(""https://docs.google.com/spreadsheets/d/1SX6NBoVAgQJ6U1MVXOaj8PK2l7WJ3RER9xtqwdhxkhw/edit?usp=sharing"",""ลพบุรี!J270"")"),0)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IFERROR(__xludf.DUMMYFUNCTION("IMPORTRANGE(""https://docs.google.com/spreadsheets/d/1SX6NBoVAgQJ6U1MVXOaj8PK2l7WJ3RER9xtqwdhxkhw/edit?usp=sharing"",""ลพบุรี!I271"")"),30)</f>
        <v>30</v>
      </c>
      <c r="J376" s="190">
        <f ca="1">IFERROR(__xludf.DUMMYFUNCTION("IMPORTRANGE(""https://docs.google.com/spreadsheets/d/1SX6NBoVAgQJ6U1MVXOaj8PK2l7WJ3RER9xtqwdhxkhw/edit?usp=sharing"",""ลพบุรี!J271"")"),0)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IFERROR(__xludf.DUMMYFUNCTION("IMPORTRANGE(""https://docs.google.com/spreadsheets/d/1SX6NBoVAgQJ6U1MVXOaj8PK2l7WJ3RER9xtqwdhxkhw/edit?usp=sharing"",""ลพบุรี!I272"")"),30)</f>
        <v>30</v>
      </c>
      <c r="J377" s="205">
        <f ca="1">IFERROR(__xludf.DUMMYFUNCTION("IMPORTRANGE(""https://docs.google.com/spreadsheets/d/1SX6NBoVAgQJ6U1MVXOaj8PK2l7WJ3RER9xtqwdhxkhw/edit?usp=sharing"",""ลพบุรี!J272"")"),0)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IFERROR(__xludf.DUMMYFUNCTION("IMPORTRANGE(""https://docs.google.com/spreadsheets/d/1SX6NBoVAgQJ6U1MVXOaj8PK2l7WJ3RER9xtqwdhxkhw/edit?usp=sharing"",""ลพบุรี!J273"")"),0)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IFERROR(__xludf.DUMMYFUNCTION("IMPORTRANGE(""https://docs.google.com/spreadsheets/d/1SX6NBoVAgQJ6U1MVXOaj8PK2l7WJ3RER9xtqwdhxkhw/edit?usp=sharing"",""ลพบุรี!J274"")"),0)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IFERROR(__xludf.DUMMYFUNCTION("IMPORTRANGE(""https://docs.google.com/spreadsheets/d/1SX6NBoVAgQJ6U1MVXOaj8PK2l7WJ3RER9xtqwdhxkhw/edit?usp=sharing"",""ลพบุรี!M275"")"),243805)</f>
        <v>243805</v>
      </c>
      <c r="O380" s="373">
        <f ca="1">+IF(L380&gt;0,N380*100/L380,0)</f>
        <v>23.704449111344456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IFERROR(__xludf.DUMMYFUNCTION("IMPORTRANGE(""https://docs.google.com/spreadsheets/d/1SX6NBoVAgQJ6U1MVXOaj8PK2l7WJ3RER9xtqwdhxkhw/edit?usp=sharing"",""ลพบุรี!L277"")"),0)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IFERROR(__xludf.DUMMYFUNCTION("IMPORTRANGE(""https://docs.google.com/spreadsheets/d/1SX6NBoVAgQJ6U1MVXOaj8PK2l7WJ3RER9xtqwdhxkhw/edit?usp=sharing"",""ลพบุรี!M277"")"),0)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IFERROR(__xludf.DUMMYFUNCTION("IMPORTRANGE(""https://docs.google.com/spreadsheets/d/1SX6NBoVAgQJ6U1MVXOaj8PK2l7WJ3RER9xtqwdhxkhw/edit?usp=sharing"",""ลพบุรี!L278"")"),1028520)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IFERROR(__xludf.DUMMYFUNCTION("IMPORTRANGE(""https://docs.google.com/spreadsheets/d/1SX6NBoVAgQJ6U1MVXOaj8PK2l7WJ3RER9xtqwdhxkhw/edit?usp=sharing"",""ลพบุรี!M278"")"),243805)</f>
        <v>243805</v>
      </c>
      <c r="O383" s="167">
        <f t="shared" ca="1" si="109"/>
        <v>23.704449111344456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IFERROR(__xludf.DUMMYFUNCTION("IMPORTRANGE(""https://docs.google.com/spreadsheets/d/1SX6NBoVAgQJ6U1MVXOaj8PK2l7WJ3RER9xtqwdhxkhw/edit?usp=sharing"",""ลพบุรี!L279"")"),0)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IFERROR(__xludf.DUMMYFUNCTION("IMPORTRANGE(""https://docs.google.com/spreadsheets/d/1SX6NBoVAgQJ6U1MVXOaj8PK2l7WJ3RER9xtqwdhxkhw/edit?usp=sharing"",""ลพบุรี!M279"")"),0)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IFERROR(__xludf.DUMMYFUNCTION("IMPORTRANGE(""https://docs.google.com/spreadsheets/d/1SX6NBoVAgQJ6U1MVXOaj8PK2l7WJ3RER9xtqwdhxkhw/edit?usp=sharing"",""ลพบุรี!L280"")"),1028520)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IFERROR(__xludf.DUMMYFUNCTION("IMPORTRANGE(""https://docs.google.com/spreadsheets/d/1SX6NBoVAgQJ6U1MVXOaj8PK2l7WJ3RER9xtqwdhxkhw/edit?usp=sharing"",""ลพบุรี!M280"")"),243805)</f>
        <v>243805</v>
      </c>
      <c r="O385" s="170">
        <f t="shared" ca="1" si="109"/>
        <v>23.704449111344456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IFERROR(__xludf.DUMMYFUNCTION("IMPORTRANGE(""https://docs.google.com/spreadsheets/d/1SX6NBoVAgQJ6U1MVXOaj8PK2l7WJ3RER9xtqwdhxkhw/edit?usp=sharing"",""ลพบุรี!M284"")"),4790)</f>
        <v>4790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IFERROR(__xludf.DUMMYFUNCTION("IMPORTRANGE(""https://docs.google.com/spreadsheets/d/1SX6NBoVAgQJ6U1MVXOaj8PK2l7WJ3RER9xtqwdhxkhw/edit?usp=sharing"",""ลพบุรี!J286"")"),0)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IFERROR(__xludf.DUMMYFUNCTION("IMPORTRANGE(""https://docs.google.com/spreadsheets/d/1SX6NBoVAgQJ6U1MVXOaj8PK2l7WJ3RER9xtqwdhxkhw/edit?usp=sharing"",""ลพบุรี!J287"")"),1)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IFERROR(__xludf.DUMMYFUNCTION("IMPORTRANGE(""https://docs.google.com/spreadsheets/d/1SX6NBoVAgQJ6U1MVXOaj8PK2l7WJ3RER9xtqwdhxkhw/edit?usp=sharing"",""ลพบุรี!J288"")"),1)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IFERROR(__xludf.DUMMYFUNCTION("IMPORTRANGE(""https://docs.google.com/spreadsheets/d/1SX6NBoVAgQJ6U1MVXOaj8PK2l7WJ3RER9xtqwdhxkhw/edit?usp=sharing"",""ลพบุรี!J289"")"),1)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IFERROR(__xludf.DUMMYFUNCTION("IMPORTRANGE(""https://docs.google.com/spreadsheets/d/1SX6NBoVAgQJ6U1MVXOaj8PK2l7WJ3RER9xtqwdhxkhw/edit?usp=sharing"",""ลพบุรี!I291"")"),100)</f>
        <v>100</v>
      </c>
      <c r="J396" s="199">
        <f ca="1">IFERROR(__xludf.DUMMYFUNCTION("IMPORTRANGE(""https://docs.google.com/spreadsheets/d/1SX6NBoVAgQJ6U1MVXOaj8PK2l7WJ3RER9xtqwdhxkhw/edit?usp=sharing"",""ลพบุรี!J291"")"),100)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IFERROR(__xludf.DUMMYFUNCTION("IMPORTRANGE(""https://docs.google.com/spreadsheets/d/1SX6NBoVAgQJ6U1MVXOaj8PK2l7WJ3RER9xtqwdhxkhw/edit?usp=sharing"",""ลพบุรี!I292"")"),1000)</f>
        <v>1000</v>
      </c>
      <c r="J397" s="199">
        <f ca="1">IFERROR(__xludf.DUMMYFUNCTION("IMPORTRANGE(""https://docs.google.com/spreadsheets/d/1SX6NBoVAgQJ6U1MVXOaj8PK2l7WJ3RER9xtqwdhxkhw/edit?usp=sharing"",""ลพบุรี!J292"")"),0)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IFERROR(__xludf.DUMMYFUNCTION("IMPORTRANGE(""https://docs.google.com/spreadsheets/d/1SX6NBoVAgQJ6U1MVXOaj8PK2l7WJ3RER9xtqwdhxkhw/edit?usp=sharing"",""ลพบุรี!I293"")"),100)</f>
        <v>100</v>
      </c>
      <c r="J398" s="199">
        <f ca="1">IFERROR(__xludf.DUMMYFUNCTION("IMPORTRANGE(""https://docs.google.com/spreadsheets/d/1SX6NBoVAgQJ6U1MVXOaj8PK2l7WJ3RER9xtqwdhxkhw/edit?usp=sharing"",""ลพบุรี!J293"")"),0)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IFERROR(__xludf.DUMMYFUNCTION("IMPORTRANGE(""https://docs.google.com/spreadsheets/d/1SX6NBoVAgQJ6U1MVXOaj8PK2l7WJ3RER9xtqwdhxkhw/edit?usp=sharing"",""ลพบุรี!J294"")"),0)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IFERROR(__xludf.DUMMYFUNCTION("IMPORTRANGE(""https://docs.google.com/spreadsheets/d/1SX6NBoVAgQJ6U1MVXOaj8PK2l7WJ3RER9xtqwdhxkhw/edit?usp=sharing"",""ลพบุรี!J295"")"),0)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IFERROR(__xludf.DUMMYFUNCTION("IMPORTRANGE(""https://docs.google.com/spreadsheets/d/1SX6NBoVAgQJ6U1MVXOaj8PK2l7WJ3RER9xtqwdhxkhw/edit?usp=sharing"",""ลพบุรี!J296"")"),120)</f>
        <v>120</v>
      </c>
      <c r="K401" s="372">
        <f t="shared" ref="K401:K402" ca="1" si="111">IF(I401&gt;0,J401*100/I401,0)</f>
        <v>80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IFERROR(__xludf.DUMMYFUNCTION("IMPORTRANGE(""https://docs.google.com/spreadsheets/d/1SX6NBoVAgQJ6U1MVXOaj8PK2l7WJ3RER9xtqwdhxkhw/edit?usp=sharing"",""ลพบุรี!M296"")"),105890)</f>
        <v>105890</v>
      </c>
      <c r="O401" s="373">
        <f ca="1">+IF(L401&gt;0,N401*100/L401,0)</f>
        <v>61.278935185185183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IFERROR(__xludf.DUMMYFUNCTION("IMPORTRANGE(""https://docs.google.com/spreadsheets/d/1SX6NBoVAgQJ6U1MVXOaj8PK2l7WJ3RER9xtqwdhxkhw/edit?usp=sharing"",""ลพบุรี!J297"")"),40)</f>
        <v>40</v>
      </c>
      <c r="K402" s="372">
        <f t="shared" ca="1" si="111"/>
        <v>80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IFERROR(__xludf.DUMMYFUNCTION("IMPORTRANGE(""https://docs.google.com/spreadsheets/d/1SX6NBoVAgQJ6U1MVXOaj8PK2l7WJ3RER9xtqwdhxkhw/edit?usp=sharing"",""ลพบุรี!L298"")"),0)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IFERROR(__xludf.DUMMYFUNCTION("IMPORTRANGE(""https://docs.google.com/spreadsheets/d/1SX6NBoVAgQJ6U1MVXOaj8PK2l7WJ3RER9xtqwdhxkhw/edit?usp=sharing"",""ลพบุรี!M298"")"),0)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IFERROR(__xludf.DUMMYFUNCTION("IMPORTRANGE(""https://docs.google.com/spreadsheets/d/1SX6NBoVAgQJ6U1MVXOaj8PK2l7WJ3RER9xtqwdhxkhw/edit?usp=sharing"",""ลพบุรี!L299"")"),172800)</f>
        <v>172800</v>
      </c>
      <c r="M404" s="167"/>
      <c r="N404" s="170">
        <f ca="1">IFERROR(__xludf.DUMMYFUNCTION("IMPORTRANGE(""https://docs.google.com/spreadsheets/d/1SX6NBoVAgQJ6U1MVXOaj8PK2l7WJ3RER9xtqwdhxkhw/edit?usp=sharing"",""ลพบุรี!M299"")"),105890)</f>
        <v>105890</v>
      </c>
      <c r="O404" s="170">
        <f t="shared" ca="1" si="112"/>
        <v>61.278935185185183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IFERROR(__xludf.DUMMYFUNCTION("IMPORTRANGE(""https://docs.google.com/spreadsheets/d/1SX6NBoVAgQJ6U1MVXOaj8PK2l7WJ3RER9xtqwdhxkhw/edit?usp=sharing"",""ลพบุรี!L300"")"),0)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IFERROR(__xludf.DUMMYFUNCTION("IMPORTRANGE(""https://docs.google.com/spreadsheets/d/1SX6NBoVAgQJ6U1MVXOaj8PK2l7WJ3RER9xtqwdhxkhw/edit?usp=sharing"",""ลพบุรี!M300"")"),0)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IFERROR(__xludf.DUMMYFUNCTION("IMPORTRANGE(""https://docs.google.com/spreadsheets/d/1SX6NBoVAgQJ6U1MVXOaj8PK2l7WJ3RER9xtqwdhxkhw/edit?usp=sharing"",""ลพบุรี!L301"")"),172800)</f>
        <v>172800</v>
      </c>
      <c r="M406" s="170"/>
      <c r="N406" s="170">
        <f ca="1">IFERROR(__xludf.DUMMYFUNCTION("IMPORTRANGE(""https://docs.google.com/spreadsheets/d/1SX6NBoVAgQJ6U1MVXOaj8PK2l7WJ3RER9xtqwdhxkhw/edit?usp=sharing"",""ลพบุรี!M301"")"),105890)</f>
        <v>105890</v>
      </c>
      <c r="O406" s="170">
        <f t="shared" ca="1" si="112"/>
        <v>61.278935185185183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IFERROR(__xludf.DUMMYFUNCTION("IMPORTRANGE(""https://docs.google.com/spreadsheets/d/1SX6NBoVAgQJ6U1MVXOaj8PK2l7WJ3RER9xtqwdhxkhw/edit?usp=sharing"",""ลพบุรี!M302"")"),98530)</f>
        <v>98530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IFERROR(__xludf.DUMMYFUNCTION("IMPORTRANGE(""https://docs.google.com/spreadsheets/d/1SX6NBoVAgQJ6U1MVXOaj8PK2l7WJ3RER9xtqwdhxkhw/edit?usp=sharing"",""ลพบุรี!M303"")"),0)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IFERROR(__xludf.DUMMYFUNCTION("IMPORTRANGE(""https://docs.google.com/spreadsheets/d/1SX6NBoVAgQJ6U1MVXOaj8PK2l7WJ3RER9xtqwdhxkhw/edit?usp=sharing"",""ลพบุรี!J307"")"),0)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IFERROR(__xludf.DUMMYFUNCTION("IMPORTRANGE(""https://docs.google.com/spreadsheets/d/1SX6NBoVAgQJ6U1MVXOaj8PK2l7WJ3RER9xtqwdhxkhw/edit?usp=sharing"",""ลพบุรี!J308"")"),1)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IFERROR(__xludf.DUMMYFUNCTION("IMPORTRANGE(""https://docs.google.com/spreadsheets/d/1SX6NBoVAgQJ6U1MVXOaj8PK2l7WJ3RER9xtqwdhxkhw/edit?usp=sharing"",""ลพบุรี!J309"")"),1)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IFERROR(__xludf.DUMMYFUNCTION("IMPORTRANGE(""https://docs.google.com/spreadsheets/d/1SX6NBoVAgQJ6U1MVXOaj8PK2l7WJ3RER9xtqwdhxkhw/edit?usp=sharing"",""ลพบุรี!J310"")"),1)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IFERROR(__xludf.DUMMYFUNCTION("IMPORTRANGE(""https://docs.google.com/spreadsheets/d/1SX6NBoVAgQJ6U1MVXOaj8PK2l7WJ3RER9xtqwdhxkhw/edit?usp=sharing"",""ลพบุรี!I311"")"),50)</f>
        <v>50</v>
      </c>
      <c r="J416" s="202">
        <f ca="1">IFERROR(__xludf.DUMMYFUNCTION("IMPORTRANGE(""https://docs.google.com/spreadsheets/d/1SX6NBoVAgQJ6U1MVXOaj8PK2l7WJ3RER9xtqwdhxkhw/edit?usp=sharing"",""ลพบุรี!J311"")"),40)</f>
        <v>40</v>
      </c>
      <c r="K416" s="203">
        <f t="shared" ref="K416:K432" ca="1" si="113">IF(I416&gt;0,J416*100/I416,0)</f>
        <v>80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IFERROR(__xludf.DUMMYFUNCTION("IMPORTRANGE(""https://docs.google.com/spreadsheets/d/1SX6NBoVAgQJ6U1MVXOaj8PK2l7WJ3RER9xtqwdhxkhw/edit?usp=sharing"",""ลพบุรี!J328"")"),0)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IFERROR(__xludf.DUMMYFUNCTION("IMPORTRANGE(""https://docs.google.com/spreadsheets/d/1SX6NBoVAgQJ6U1MVXOaj8PK2l7WJ3RER9xtqwdhxkhw/edit?usp=sharing"",""ลพบุรี!J329"")"),0)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IFERROR(__xludf.DUMMYFUNCTION("IMPORTRANGE(""https://docs.google.com/spreadsheets/d/1SX6NBoVAgQJ6U1MVXOaj8PK2l7WJ3RER9xtqwdhxkhw/edit?usp=sharing"",""ลพบุรี!M330"")"),66880)</f>
        <v>66880</v>
      </c>
      <c r="O435" s="412">
        <f t="shared" ref="O435:O439" ca="1" si="114">+IF(L435&gt;0,N435*100/L435,0)</f>
        <v>66.88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IFERROR(__xludf.DUMMYFUNCTION("IMPORTRANGE(""https://docs.google.com/spreadsheets/d/1SX6NBoVAgQJ6U1MVXOaj8PK2l7WJ3RER9xtqwdhxkhw/edit?usp=sharing"",""ลพบุรี!L331"")"),0)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IFERROR(__xludf.DUMMYFUNCTION("IMPORTRANGE(""https://docs.google.com/spreadsheets/d/1SX6NBoVAgQJ6U1MVXOaj8PK2l7WJ3RER9xtqwdhxkhw/edit?usp=sharing"",""ลพบุรี!M331"")"),0)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IFERROR(__xludf.DUMMYFUNCTION("IMPORTRANGE(""https://docs.google.com/spreadsheets/d/1SX6NBoVAgQJ6U1MVXOaj8PK2l7WJ3RER9xtqwdhxkhw/edit?usp=sharing"",""ลพบุรี!L332"")"),100000)</f>
        <v>100000</v>
      </c>
      <c r="M437" s="167"/>
      <c r="N437" s="170">
        <f ca="1">IFERROR(__xludf.DUMMYFUNCTION("IMPORTRANGE(""https://docs.google.com/spreadsheets/d/1SX6NBoVAgQJ6U1MVXOaj8PK2l7WJ3RER9xtqwdhxkhw/edit?usp=sharing"",""ลพบุรี!M332"")"),66880)</f>
        <v>66880</v>
      </c>
      <c r="O437" s="170">
        <f t="shared" ca="1" si="114"/>
        <v>66.88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IFERROR(__xludf.DUMMYFUNCTION("IMPORTRANGE(""https://docs.google.com/spreadsheets/d/1SX6NBoVAgQJ6U1MVXOaj8PK2l7WJ3RER9xtqwdhxkhw/edit?usp=sharing"",""ลพบุรี!L333"")"),0)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IFERROR(__xludf.DUMMYFUNCTION("IMPORTRANGE(""https://docs.google.com/spreadsheets/d/1SX6NBoVAgQJ6U1MVXOaj8PK2l7WJ3RER9xtqwdhxkhw/edit?usp=sharing"",""ลพบุรี!M333"")"),0)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IFERROR(__xludf.DUMMYFUNCTION("IMPORTRANGE(""https://docs.google.com/spreadsheets/d/1SX6NBoVAgQJ6U1MVXOaj8PK2l7WJ3RER9xtqwdhxkhw/edit?usp=sharing"",""ลพบุรี!L334"")"),100000)</f>
        <v>100000</v>
      </c>
      <c r="M439" s="170"/>
      <c r="N439" s="170">
        <f ca="1">IFERROR(__xludf.DUMMYFUNCTION("IMPORTRANGE(""https://docs.google.com/spreadsheets/d/1SX6NBoVAgQJ6U1MVXOaj8PK2l7WJ3RER9xtqwdhxkhw/edit?usp=sharing"",""ลพบุรี!M334"")"),66880)</f>
        <v>66880</v>
      </c>
      <c r="O439" s="170">
        <f t="shared" ca="1" si="114"/>
        <v>66.88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IFERROR(__xludf.DUMMYFUNCTION("IMPORTRANGE(""https://docs.google.com/spreadsheets/d/1SX6NBoVAgQJ6U1MVXOaj8PK2l7WJ3RER9xtqwdhxkhw/edit?usp=sharing"",""ลพบุรี!M338"")"),22680)</f>
        <v>22680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IFERROR(__xludf.DUMMYFUNCTION("IMPORTRANGE(""https://docs.google.com/spreadsheets/d/1SX6NBoVAgQJ6U1MVXOaj8PK2l7WJ3RER9xtqwdhxkhw/edit?usp=sharing"",""ลพบุรี!J341"")"),1)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IFERROR(__xludf.DUMMYFUNCTION("IMPORTRANGE(""https://docs.google.com/spreadsheets/d/1SX6NBoVAgQJ6U1MVXOaj8PK2l7WJ3RER9xtqwdhxkhw/edit?usp=sharing"",""ลพบุรี!J342"")"),1)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IFERROR(__xludf.DUMMYFUNCTION("IMPORTRANGE(""https://docs.google.com/spreadsheets/d/1SX6NBoVAgQJ6U1MVXOaj8PK2l7WJ3RER9xtqwdhxkhw/edit?usp=sharing"",""ลพบุรี!J343"")"),1)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2">
        <f ca="1">IFERROR(__xludf.DUMMYFUNCTION("IMPORTRANGE(""https://docs.google.com/spreadsheets/d/1SX6NBoVAgQJ6U1MVXOaj8PK2l7WJ3RER9xtqwdhxkhw/edit?usp=sharing"",""ลพบุรี!J344"")"),20)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IFERROR(__xludf.DUMMYFUNCTION("IMPORTRANGE(""https://docs.google.com/spreadsheets/d/1SX6NBoVAgQJ6U1MVXOaj8PK2l7WJ3RER9xtqwdhxkhw/edit?usp=sharing"",""ลพบุรี!I345"")"),20)</f>
        <v>20</v>
      </c>
      <c r="J450" s="190">
        <f ca="1">IFERROR(__xludf.DUMMYFUNCTION("IMPORTRANGE(""https://docs.google.com/spreadsheets/d/1SX6NBoVAgQJ6U1MVXOaj8PK2l7WJ3RER9xtqwdhxkhw/edit?usp=sharing"",""ลพบุรี!J345"")"),20)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IFERROR(__xludf.DUMMYFUNCTION("IMPORTRANGE(""https://docs.google.com/spreadsheets/d/1SX6NBoVAgQJ6U1MVXOaj8PK2l7WJ3RER9xtqwdhxkhw/edit?usp=sharing"",""ลพบุรี!I346"")"),0)</f>
        <v>0</v>
      </c>
      <c r="J451" s="189">
        <f ca="1">IFERROR(__xludf.DUMMYFUNCTION("IMPORTRANGE(""https://docs.google.com/spreadsheets/d/1SX6NBoVAgQJ6U1MVXOaj8PK2l7WJ3RER9xtqwdhxkhw/edit?usp=sharing"",""ลพบุรี!J346"")"),0)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IFERROR(__xludf.DUMMYFUNCTION("IMPORTRANGE(""https://docs.google.com/spreadsheets/d/1SX6NBoVAgQJ6U1MVXOaj8PK2l7WJ3RER9xtqwdhxkhw/edit?usp=sharing"",""ลพบุรี!I347"")"),0)</f>
        <v>0</v>
      </c>
      <c r="J452" s="189">
        <f ca="1">IFERROR(__xludf.DUMMYFUNCTION("IMPORTRANGE(""https://docs.google.com/spreadsheets/d/1SX6NBoVAgQJ6U1MVXOaj8PK2l7WJ3RER9xtqwdhxkhw/edit?usp=sharing"",""ลพบุรี!J347"")"),0)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IFERROR(__xludf.DUMMYFUNCTION("IMPORTRANGE(""https://docs.google.com/spreadsheets/d/1SX6NBoVAgQJ6U1MVXOaj8PK2l7WJ3RER9xtqwdhxkhw/edit?usp=sharing"",""ลพบุรี!J348"")"),0)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IFERROR(__xludf.DUMMYFUNCTION("IMPORTRANGE(""https://docs.google.com/spreadsheets/d/1SX6NBoVAgQJ6U1MVXOaj8PK2l7WJ3RER9xtqwdhxkhw/edit?usp=sharing"",""ลพบุรี!J349"")"),0)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IFERROR(__xludf.DUMMYFUNCTION("IMPORTRANGE(""https://docs.google.com/spreadsheets/d/1SX6NBoVAgQJ6U1MVXOaj8PK2l7WJ3RER9xtqwdhxkhw/edit?usp=sharing"",""ลพบุรี!L350"")"),794001)</f>
        <v>794001</v>
      </c>
      <c r="M455" s="373"/>
      <c r="N455" s="373">
        <f ca="1">IFERROR(__xludf.DUMMYFUNCTION("IMPORTRANGE(""https://docs.google.com/spreadsheets/d/1SX6NBoVAgQJ6U1MVXOaj8PK2l7WJ3RER9xtqwdhxkhw/edit?usp=sharing"",""ลพบุรี!M350"")"),94365.15)</f>
        <v>94365.15</v>
      </c>
      <c r="O455" s="373">
        <f t="shared" ref="O455:O459" ca="1" si="116">+IF(L455&gt;0,N455*100/L455,0)</f>
        <v>11.884764628759914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IFERROR(__xludf.DUMMYFUNCTION("IMPORTRANGE(""https://docs.google.com/spreadsheets/d/1SX6NBoVAgQJ6U1MVXOaj8PK2l7WJ3RER9xtqwdhxkhw/edit?usp=sharing"",""ลพบุรี!L351"")"),0)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IFERROR(__xludf.DUMMYFUNCTION("IMPORTRANGE(""https://docs.google.com/spreadsheets/d/1SX6NBoVAgQJ6U1MVXOaj8PK2l7WJ3RER9xtqwdhxkhw/edit?usp=sharing"",""ลพบุรี!M351"")"),0)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IFERROR(__xludf.DUMMYFUNCTION("IMPORTRANGE(""https://docs.google.com/spreadsheets/d/1SX6NBoVAgQJ6U1MVXOaj8PK2l7WJ3RER9xtqwdhxkhw/edit?usp=sharing"",""ลพบุรี!L352"")"),794001)</f>
        <v>794001</v>
      </c>
      <c r="M457" s="167"/>
      <c r="N457" s="170">
        <f ca="1">IFERROR(__xludf.DUMMYFUNCTION("IMPORTRANGE(""https://docs.google.com/spreadsheets/d/1SX6NBoVAgQJ6U1MVXOaj8PK2l7WJ3RER9xtqwdhxkhw/edit?usp=sharing"",""ลพบุรี!M352"")"),94365.15)</f>
        <v>94365.15</v>
      </c>
      <c r="O457" s="170">
        <f t="shared" ca="1" si="116"/>
        <v>11.884764628759914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IFERROR(__xludf.DUMMYFUNCTION("IMPORTRANGE(""https://docs.google.com/spreadsheets/d/1SX6NBoVAgQJ6U1MVXOaj8PK2l7WJ3RER9xtqwdhxkhw/edit?usp=sharing"",""ลพบุรี!L353"")"),0)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IFERROR(__xludf.DUMMYFUNCTION("IMPORTRANGE(""https://docs.google.com/spreadsheets/d/1SX6NBoVAgQJ6U1MVXOaj8PK2l7WJ3RER9xtqwdhxkhw/edit?usp=sharing"",""ลพบุรี!M353"")"),0)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IFERROR(__xludf.DUMMYFUNCTION("IMPORTRANGE(""https://docs.google.com/spreadsheets/d/1SX6NBoVAgQJ6U1MVXOaj8PK2l7WJ3RER9xtqwdhxkhw/edit?usp=sharing"",""ลพบุรี!L354"")"),794001)</f>
        <v>794001</v>
      </c>
      <c r="M459" s="170"/>
      <c r="N459" s="170">
        <f ca="1">IFERROR(__xludf.DUMMYFUNCTION("IMPORTRANGE(""https://docs.google.com/spreadsheets/d/1SX6NBoVAgQJ6U1MVXOaj8PK2l7WJ3RER9xtqwdhxkhw/edit?usp=sharing"",""ลพบุรี!M354"")"),94365.15)</f>
        <v>94365.15</v>
      </c>
      <c r="O459" s="170">
        <f t="shared" ca="1" si="116"/>
        <v>11.884764628759914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IFERROR(__xludf.DUMMYFUNCTION("IMPORTRANGE(""https://docs.google.com/spreadsheets/d/1SX6NBoVAgQJ6U1MVXOaj8PK2l7WJ3RER9xtqwdhxkhw/edit?usp=sharing"",""ลพบุรี!M355"")"),0)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IFERROR(__xludf.DUMMYFUNCTION("IMPORTRANGE(""https://docs.google.com/spreadsheets/d/1SX6NBoVAgQJ6U1MVXOaj8PK2l7WJ3RER9xtqwdhxkhw/edit?usp=sharing"",""ลพบุรี!M356"")"),0)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IFERROR(__xludf.DUMMYFUNCTION("IMPORTRANGE(""https://docs.google.com/spreadsheets/d/1SX6NBoVAgQJ6U1MVXOaj8PK2l7WJ3RER9xtqwdhxkhw/edit?usp=sharing"",""ลพบุรี!M357"")"),31886)</f>
        <v>31886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IFERROR(__xludf.DUMMYFUNCTION("IMPORTRANGE(""https://docs.google.com/spreadsheets/d/1SX6NBoVAgQJ6U1MVXOaj8PK2l7WJ3RER9xtqwdhxkhw/edit?usp=sharing"",""ลพบุรี!J360"")"),62398.14)</f>
        <v>62398.14</v>
      </c>
      <c r="K465" s="203">
        <f t="shared" ca="1" si="117"/>
        <v>57.235498073747934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IFERROR(__xludf.DUMMYFUNCTION("IMPORTRANGE(""https://docs.google.com/spreadsheets/d/1SX6NBoVAgQJ6U1MVXOaj8PK2l7WJ3RER9xtqwdhxkhw/edit?usp=sharing"",""ลพบุรี!J361"")"),3677)</f>
        <v>3677</v>
      </c>
      <c r="K466" s="203">
        <f t="shared" ca="1" si="117"/>
        <v>57.507037847982481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IFERROR(__xludf.DUMMYFUNCTION("IMPORTRANGE(""https://docs.google.com/spreadsheets/d/1SX6NBoVAgQJ6U1MVXOaj8PK2l7WJ3RER9xtqwdhxkhw/edit?usp=sharing"",""ลพบุรี!I362"")"),0)</f>
        <v>0</v>
      </c>
      <c r="J467" s="190">
        <f ca="1">IFERROR(__xludf.DUMMYFUNCTION("IMPORTRANGE(""https://docs.google.com/spreadsheets/d/1SX6NBoVAgQJ6U1MVXOaj8PK2l7WJ3RER9xtqwdhxkhw/edit?usp=sharing"",""ลพบุรี!J362"")"),43158.09)</f>
        <v>43158.09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IFERROR(__xludf.DUMMYFUNCTION("IMPORTRANGE(""https://docs.google.com/spreadsheets/d/1SX6NBoVAgQJ6U1MVXOaj8PK2l7WJ3RER9xtqwdhxkhw/edit?usp=sharing"",""ลพบุรี!I363"")"),0)</f>
        <v>0</v>
      </c>
      <c r="J468" s="190">
        <f ca="1">IFERROR(__xludf.DUMMYFUNCTION("IMPORTRANGE(""https://docs.google.com/spreadsheets/d/1SX6NBoVAgQJ6U1MVXOaj8PK2l7WJ3RER9xtqwdhxkhw/edit?usp=sharing"",""ลพบุรี!J363"")"),2735)</f>
        <v>2735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IFERROR(__xludf.DUMMYFUNCTION("IMPORTRANGE(""https://docs.google.com/spreadsheets/d/1SX6NBoVAgQJ6U1MVXOaj8PK2l7WJ3RER9xtqwdhxkhw/edit?usp=sharing"",""ลพบุรี!I364"")"),0)</f>
        <v>0</v>
      </c>
      <c r="J469" s="190">
        <f ca="1">IFERROR(__xludf.DUMMYFUNCTION("IMPORTRANGE(""https://docs.google.com/spreadsheets/d/1SX6NBoVAgQJ6U1MVXOaj8PK2l7WJ3RER9xtqwdhxkhw/edit?usp=sharing"",""ลพบุรี!J364"")"),16375.05)</f>
        <v>16375.05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IFERROR(__xludf.DUMMYFUNCTION("IMPORTRANGE(""https://docs.google.com/spreadsheets/d/1SX6NBoVAgQJ6U1MVXOaj8PK2l7WJ3RER9xtqwdhxkhw/edit?usp=sharing"",""ลพบุรี!I365"")"),0)</f>
        <v>0</v>
      </c>
      <c r="J470" s="190">
        <f ca="1">IFERROR(__xludf.DUMMYFUNCTION("IMPORTRANGE(""https://docs.google.com/spreadsheets/d/1SX6NBoVAgQJ6U1MVXOaj8PK2l7WJ3RER9xtqwdhxkhw/edit?usp=sharing"",""ลพบุรี!J365"")"),789)</f>
        <v>789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IFERROR(__xludf.DUMMYFUNCTION("IMPORTRANGE(""https://docs.google.com/spreadsheets/d/1SX6NBoVAgQJ6U1MVXOaj8PK2l7WJ3RER9xtqwdhxkhw/edit?usp=sharing"",""ลพบุรี!I366"")"),0)</f>
        <v>0</v>
      </c>
      <c r="J471" s="190">
        <f ca="1">IFERROR(__xludf.DUMMYFUNCTION("IMPORTRANGE(""https://docs.google.com/spreadsheets/d/1SX6NBoVAgQJ6U1MVXOaj8PK2l7WJ3RER9xtqwdhxkhw/edit?usp=sharing"",""ลพบุรี!J366"")"),2865)</f>
        <v>2865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IFERROR(__xludf.DUMMYFUNCTION("IMPORTRANGE(""https://docs.google.com/spreadsheets/d/1SX6NBoVAgQJ6U1MVXOaj8PK2l7WJ3RER9xtqwdhxkhw/edit?usp=sharing"",""ลพบุรี!I367"")"),0)</f>
        <v>0</v>
      </c>
      <c r="J472" s="190">
        <f ca="1">IFERROR(__xludf.DUMMYFUNCTION("IMPORTRANGE(""https://docs.google.com/spreadsheets/d/1SX6NBoVAgQJ6U1MVXOaj8PK2l7WJ3RER9xtqwdhxkhw/edit?usp=sharing"",""ลพบุรี!J367"")"),153)</f>
        <v>153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IFERROR(__xludf.DUMMYFUNCTION("IMPORTRANGE(""https://docs.google.com/spreadsheets/d/1SX6NBoVAgQJ6U1MVXOaj8PK2l7WJ3RER9xtqwdhxkhw/edit?usp=sharing"",""ลพบุรี!I370"")"),0)</f>
        <v>0</v>
      </c>
      <c r="J475" s="190">
        <f ca="1">IFERROR(__xludf.DUMMYFUNCTION("IMPORTRANGE(""https://docs.google.com/spreadsheets/d/1SX6NBoVAgQJ6U1MVXOaj8PK2l7WJ3RER9xtqwdhxkhw/edit?usp=sharing"",""ลพบุรี!J370"")"),0)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IFERROR(__xludf.DUMMYFUNCTION("IMPORTRANGE(""https://docs.google.com/spreadsheets/d/1SX6NBoVAgQJ6U1MVXOaj8PK2l7WJ3RER9xtqwdhxkhw/edit?usp=sharing"",""ลพบุรี!I371"")"),0)</f>
        <v>0</v>
      </c>
      <c r="J476" s="190">
        <f ca="1">IFERROR(__xludf.DUMMYFUNCTION("IMPORTRANGE(""https://docs.google.com/spreadsheets/d/1SX6NBoVAgQJ6U1MVXOaj8PK2l7WJ3RER9xtqwdhxkhw/edit?usp=sharing"",""ลพบุรี!J371"")"),0)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IFERROR(__xludf.DUMMYFUNCTION("IMPORTRANGE(""https://docs.google.com/spreadsheets/d/1SX6NBoVAgQJ6U1MVXOaj8PK2l7WJ3RER9xtqwdhxkhw/edit?usp=sharing"",""ลพบุรี!I372"")"),0)</f>
        <v>0</v>
      </c>
      <c r="J477" s="190">
        <f ca="1">IFERROR(__xludf.DUMMYFUNCTION("IMPORTRANGE(""https://docs.google.com/spreadsheets/d/1SX6NBoVAgQJ6U1MVXOaj8PK2l7WJ3RER9xtqwdhxkhw/edit?usp=sharing"",""ลพบุรี!J372"")"),0)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IFERROR(__xludf.DUMMYFUNCTION("IMPORTRANGE(""https://docs.google.com/spreadsheets/d/1SX6NBoVAgQJ6U1MVXOaj8PK2l7WJ3RER9xtqwdhxkhw/edit?usp=sharing"",""ลพบุรี!I373"")"),0)</f>
        <v>0</v>
      </c>
      <c r="J478" s="190">
        <f ca="1">IFERROR(__xludf.DUMMYFUNCTION("IMPORTRANGE(""https://docs.google.com/spreadsheets/d/1SX6NBoVAgQJ6U1MVXOaj8PK2l7WJ3RER9xtqwdhxkhw/edit?usp=sharing"",""ลพบุรี!J373"")"),0)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IFERROR(__xludf.DUMMYFUNCTION("IMPORTRANGE(""https://docs.google.com/spreadsheets/d/1SX6NBoVAgQJ6U1MVXOaj8PK2l7WJ3RER9xtqwdhxkhw/edit?usp=sharing"",""ลพบุรี!I374"")"),0)</f>
        <v>0</v>
      </c>
      <c r="J479" s="190">
        <f ca="1">IFERROR(__xludf.DUMMYFUNCTION("IMPORTRANGE(""https://docs.google.com/spreadsheets/d/1SX6NBoVAgQJ6U1MVXOaj8PK2l7WJ3RER9xtqwdhxkhw/edit?usp=sharing"",""ลพบุรี!J374"")"),0)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IFERROR(__xludf.DUMMYFUNCTION("IMPORTRANGE(""https://docs.google.com/spreadsheets/d/1SX6NBoVAgQJ6U1MVXOaj8PK2l7WJ3RER9xtqwdhxkhw/edit?usp=sharing"",""ลพบุรี!I375"")"),0)</f>
        <v>0</v>
      </c>
      <c r="J480" s="190">
        <f ca="1">IFERROR(__xludf.DUMMYFUNCTION("IMPORTRANGE(""https://docs.google.com/spreadsheets/d/1SX6NBoVAgQJ6U1MVXOaj8PK2l7WJ3RER9xtqwdhxkhw/edit?usp=sharing"",""ลพบุรี!J375"")"),0)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IFERROR(__xludf.DUMMYFUNCTION("IMPORTRANGE(""https://docs.google.com/spreadsheets/d/1SX6NBoVAgQJ6U1MVXOaj8PK2l7WJ3RER9xtqwdhxkhw/edit?usp=sharing"",""ลพบุรี!I378"")"),0)</f>
        <v>0</v>
      </c>
      <c r="J483" s="190">
        <f ca="1">IFERROR(__xludf.DUMMYFUNCTION("IMPORTRANGE(""https://docs.google.com/spreadsheets/d/1SX6NBoVAgQJ6U1MVXOaj8PK2l7WJ3RER9xtqwdhxkhw/edit?usp=sharing"",""ลพบุรี!J378"")"),0)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IFERROR(__xludf.DUMMYFUNCTION("IMPORTRANGE(""https://docs.google.com/spreadsheets/d/1SX6NBoVAgQJ6U1MVXOaj8PK2l7WJ3RER9xtqwdhxkhw/edit?usp=sharing"",""ลพบุรี!I379"")"),0)</f>
        <v>0</v>
      </c>
      <c r="J484" s="190">
        <f ca="1">IFERROR(__xludf.DUMMYFUNCTION("IMPORTRANGE(""https://docs.google.com/spreadsheets/d/1SX6NBoVAgQJ6U1MVXOaj8PK2l7WJ3RER9xtqwdhxkhw/edit?usp=sharing"",""ลพบุรี!J379"")"),0)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IFERROR(__xludf.DUMMYFUNCTION("IMPORTRANGE(""https://docs.google.com/spreadsheets/d/1SX6NBoVAgQJ6U1MVXOaj8PK2l7WJ3RER9xtqwdhxkhw/edit?usp=sharing"",""ลพบุรี!I380"")"),0)</f>
        <v>0</v>
      </c>
      <c r="J485" s="190">
        <f ca="1">IFERROR(__xludf.DUMMYFUNCTION("IMPORTRANGE(""https://docs.google.com/spreadsheets/d/1SX6NBoVAgQJ6U1MVXOaj8PK2l7WJ3RER9xtqwdhxkhw/edit?usp=sharing"",""ลพบุรี!J380"")"),0)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IFERROR(__xludf.DUMMYFUNCTION("IMPORTRANGE(""https://docs.google.com/spreadsheets/d/1SX6NBoVAgQJ6U1MVXOaj8PK2l7WJ3RER9xtqwdhxkhw/edit?usp=sharing"",""ลพบุรี!I381"")"),0)</f>
        <v>0</v>
      </c>
      <c r="J486" s="190">
        <f ca="1">IFERROR(__xludf.DUMMYFUNCTION("IMPORTRANGE(""https://docs.google.com/spreadsheets/d/1SX6NBoVAgQJ6U1MVXOaj8PK2l7WJ3RER9xtqwdhxkhw/edit?usp=sharing"",""ลพบุรี!J381"")"),0)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IFERROR(__xludf.DUMMYFUNCTION("IMPORTRANGE(""https://docs.google.com/spreadsheets/d/1SX6NBoVAgQJ6U1MVXOaj8PK2l7WJ3RER9xtqwdhxkhw/edit?usp=sharing"",""ลพบุรี!I384"")"),0)</f>
        <v>0</v>
      </c>
      <c r="J489" s="190">
        <f ca="1">IFERROR(__xludf.DUMMYFUNCTION("IMPORTRANGE(""https://docs.google.com/spreadsheets/d/1SX6NBoVAgQJ6U1MVXOaj8PK2l7WJ3RER9xtqwdhxkhw/edit?usp=sharing"",""ลพบุรี!J384"")"),0)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IFERROR(__xludf.DUMMYFUNCTION("IMPORTRANGE(""https://docs.google.com/spreadsheets/d/1SX6NBoVAgQJ6U1MVXOaj8PK2l7WJ3RER9xtqwdhxkhw/edit?usp=sharing"",""ลพบุรี!I385"")"),0)</f>
        <v>0</v>
      </c>
      <c r="J490" s="190">
        <f ca="1">IFERROR(__xludf.DUMMYFUNCTION("IMPORTRANGE(""https://docs.google.com/spreadsheets/d/1SX6NBoVAgQJ6U1MVXOaj8PK2l7WJ3RER9xtqwdhxkhw/edit?usp=sharing"",""ลพบุรี!J385"")"),0)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IFERROR(__xludf.DUMMYFUNCTION("IMPORTRANGE(""https://docs.google.com/spreadsheets/d/1SX6NBoVAgQJ6U1MVXOaj8PK2l7WJ3RER9xtqwdhxkhw/edit?usp=sharing"",""ลพบุรี!I386"")"),0)</f>
        <v>0</v>
      </c>
      <c r="J491" s="190">
        <f ca="1">IFERROR(__xludf.DUMMYFUNCTION("IMPORTRANGE(""https://docs.google.com/spreadsheets/d/1SX6NBoVAgQJ6U1MVXOaj8PK2l7WJ3RER9xtqwdhxkhw/edit?usp=sharing"",""ลพบุรี!J386"")"),0)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IFERROR(__xludf.DUMMYFUNCTION("IMPORTRANGE(""https://docs.google.com/spreadsheets/d/1SX6NBoVAgQJ6U1MVXOaj8PK2l7WJ3RER9xtqwdhxkhw/edit?usp=sharing"",""ลพบุรี!I387"")"),0)</f>
        <v>0</v>
      </c>
      <c r="J492" s="190">
        <f ca="1">IFERROR(__xludf.DUMMYFUNCTION("IMPORTRANGE(""https://docs.google.com/spreadsheets/d/1SX6NBoVAgQJ6U1MVXOaj8PK2l7WJ3RER9xtqwdhxkhw/edit?usp=sharing"",""ลพบุรี!J387"")"),0)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IFERROR(__xludf.DUMMYFUNCTION("IMPORTRANGE(""https://docs.google.com/spreadsheets/d/1SX6NBoVAgQJ6U1MVXOaj8PK2l7WJ3RER9xtqwdhxkhw/edit?usp=sharing"",""ลพบุรี!I388"")"),0)</f>
        <v>0</v>
      </c>
      <c r="J493" s="190">
        <f ca="1">IFERROR(__xludf.DUMMYFUNCTION("IMPORTRANGE(""https://docs.google.com/spreadsheets/d/1SX6NBoVAgQJ6U1MVXOaj8PK2l7WJ3RER9xtqwdhxkhw/edit?usp=sharing"",""ลพบุรี!J388"")"),0)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IFERROR(__xludf.DUMMYFUNCTION("IMPORTRANGE(""https://docs.google.com/spreadsheets/d/1SX6NBoVAgQJ6U1MVXOaj8PK2l7WJ3RER9xtqwdhxkhw/edit?usp=sharing"",""ลพบุรี!I395"")"),0)</f>
        <v>0</v>
      </c>
      <c r="J500" s="164">
        <f ca="1">IFERROR(__xludf.DUMMYFUNCTION("IMPORTRANGE(""https://docs.google.com/spreadsheets/d/1SX6NBoVAgQJ6U1MVXOaj8PK2l7WJ3RER9xtqwdhxkhw/edit?usp=sharing"",""ลพบุรี!J395"")"),0)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IFERROR(__xludf.DUMMYFUNCTION("IMPORTRANGE(""https://docs.google.com/spreadsheets/d/1SX6NBoVAgQJ6U1MVXOaj8PK2l7WJ3RER9xtqwdhxkhw/edit?usp=sharing"",""ลพบุรี!I396"")"),0)</f>
        <v>0</v>
      </c>
      <c r="J501" s="164">
        <f ca="1">IFERROR(__xludf.DUMMYFUNCTION("IMPORTRANGE(""https://docs.google.com/spreadsheets/d/1SX6NBoVAgQJ6U1MVXOaj8PK2l7WJ3RER9xtqwdhxkhw/edit?usp=sharing"",""ลพบุรี!J396"")"),0)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IFERROR(__xludf.DUMMYFUNCTION("IMPORTRANGE(""https://docs.google.com/spreadsheets/d/1SX6NBoVAgQJ6U1MVXOaj8PK2l7WJ3RER9xtqwdhxkhw/edit?usp=sharing"",""ลพบุรี!I397"")"),0)</f>
        <v>0</v>
      </c>
      <c r="J502" s="190">
        <f ca="1">IFERROR(__xludf.DUMMYFUNCTION("IMPORTRANGE(""https://docs.google.com/spreadsheets/d/1SX6NBoVAgQJ6U1MVXOaj8PK2l7WJ3RER9xtqwdhxkhw/edit?usp=sharing"",""ลพบุรี!J397"")"),0)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IFERROR(__xludf.DUMMYFUNCTION("IMPORTRANGE(""https://docs.google.com/spreadsheets/d/1SX6NBoVAgQJ6U1MVXOaj8PK2l7WJ3RER9xtqwdhxkhw/edit?usp=sharing"",""ลพบุรี!I398"")"),0)</f>
        <v>0</v>
      </c>
      <c r="J503" s="199">
        <f ca="1">IFERROR(__xludf.DUMMYFUNCTION("IMPORTRANGE(""https://docs.google.com/spreadsheets/d/1SX6NBoVAgQJ6U1MVXOaj8PK2l7WJ3RER9xtqwdhxkhw/edit?usp=sharing"",""ลพบุรี!J398"")"),0)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IFERROR(__xludf.DUMMYFUNCTION("IMPORTRANGE(""https://docs.google.com/spreadsheets/d/1SX6NBoVAgQJ6U1MVXOaj8PK2l7WJ3RER9xtqwdhxkhw/edit?usp=sharing"",""ลพบุรี!I399"")"),0)</f>
        <v>0</v>
      </c>
      <c r="J504" s="190">
        <f ca="1">IFERROR(__xludf.DUMMYFUNCTION("IMPORTRANGE(""https://docs.google.com/spreadsheets/d/1SX6NBoVAgQJ6U1MVXOaj8PK2l7WJ3RER9xtqwdhxkhw/edit?usp=sharing"",""ลพบุรี!J399"")"),0)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IFERROR(__xludf.DUMMYFUNCTION("IMPORTRANGE(""https://docs.google.com/spreadsheets/d/1SX6NBoVAgQJ6U1MVXOaj8PK2l7WJ3RER9xtqwdhxkhw/edit?usp=sharing"",""ลพบุรี!I400"")"),0)</f>
        <v>0</v>
      </c>
      <c r="J505" s="199">
        <f ca="1">IFERROR(__xludf.DUMMYFUNCTION("IMPORTRANGE(""https://docs.google.com/spreadsheets/d/1SX6NBoVAgQJ6U1MVXOaj8PK2l7WJ3RER9xtqwdhxkhw/edit?usp=sharing"",""ลพบุรี!J400"")"),0)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IFERROR(__xludf.DUMMYFUNCTION("IMPORTRANGE(""https://docs.google.com/spreadsheets/d/1SX6NBoVAgQJ6U1MVXOaj8PK2l7WJ3RER9xtqwdhxkhw/edit?usp=sharing"",""ลพบุรี!I401"")"),0)</f>
        <v>0</v>
      </c>
      <c r="J506" s="190">
        <f ca="1">IFERROR(__xludf.DUMMYFUNCTION("IMPORTRANGE(""https://docs.google.com/spreadsheets/d/1SX6NBoVAgQJ6U1MVXOaj8PK2l7WJ3RER9xtqwdhxkhw/edit?usp=sharing"",""ลพบุรี!J401"")"),0)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IFERROR(__xludf.DUMMYFUNCTION("IMPORTRANGE(""https://docs.google.com/spreadsheets/d/1SX6NBoVAgQJ6U1MVXOaj8PK2l7WJ3RER9xtqwdhxkhw/edit?usp=sharing"",""ลพบุรี!I402"")"),0)</f>
        <v>0</v>
      </c>
      <c r="J507" s="199">
        <f ca="1">IFERROR(__xludf.DUMMYFUNCTION("IMPORTRANGE(""https://docs.google.com/spreadsheets/d/1SX6NBoVAgQJ6U1MVXOaj8PK2l7WJ3RER9xtqwdhxkhw/edit?usp=sharing"",""ลพบุรี!J402"")"),0)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IFERROR(__xludf.DUMMYFUNCTION("IMPORTRANGE(""https://docs.google.com/spreadsheets/d/1SX6NBoVAgQJ6U1MVXOaj8PK2l7WJ3RER9xtqwdhxkhw/edit?usp=sharing"",""ลพบุรี!I403"")"),0)</f>
        <v>0</v>
      </c>
      <c r="J508" s="164">
        <f ca="1">IFERROR(__xludf.DUMMYFUNCTION("IMPORTRANGE(""https://docs.google.com/spreadsheets/d/1SX6NBoVAgQJ6U1MVXOaj8PK2l7WJ3RER9xtqwdhxkhw/edit?usp=sharing"",""ลพบุรี!J403"")"),0)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IFERROR(__xludf.DUMMYFUNCTION("IMPORTRANGE(""https://docs.google.com/spreadsheets/d/1SX6NBoVAgQJ6U1MVXOaj8PK2l7WJ3RER9xtqwdhxkhw/edit?usp=sharing"",""ลพบุรี!I404"")"),0)</f>
        <v>0</v>
      </c>
      <c r="J509" s="164">
        <f ca="1">IFERROR(__xludf.DUMMYFUNCTION("IMPORTRANGE(""https://docs.google.com/spreadsheets/d/1SX6NBoVAgQJ6U1MVXOaj8PK2l7WJ3RER9xtqwdhxkhw/edit?usp=sharing"",""ลพบุรี!J404"")"),0)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IFERROR(__xludf.DUMMYFUNCTION("IMPORTRANGE(""https://docs.google.com/spreadsheets/d/1SX6NBoVAgQJ6U1MVXOaj8PK2l7WJ3RER9xtqwdhxkhw/edit?usp=sharing"",""ลพบุรี!I405"")"),0)</f>
        <v>0</v>
      </c>
      <c r="J510" s="199">
        <f ca="1">IFERROR(__xludf.DUMMYFUNCTION("IMPORTRANGE(""https://docs.google.com/spreadsheets/d/1SX6NBoVAgQJ6U1MVXOaj8PK2l7WJ3RER9xtqwdhxkhw/edit?usp=sharing"",""ลพบุรี!J405"")"),0)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IFERROR(__xludf.DUMMYFUNCTION("IMPORTRANGE(""https://docs.google.com/spreadsheets/d/1SX6NBoVAgQJ6U1MVXOaj8PK2l7WJ3RER9xtqwdhxkhw/edit?usp=sharing"",""ลพบุรี!I406"")"),0)</f>
        <v>0</v>
      </c>
      <c r="J511" s="199">
        <f ca="1">IFERROR(__xludf.DUMMYFUNCTION("IMPORTRANGE(""https://docs.google.com/spreadsheets/d/1SX6NBoVAgQJ6U1MVXOaj8PK2l7WJ3RER9xtqwdhxkhw/edit?usp=sharing"",""ลพบุรี!J406"")"),0)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IFERROR(__xludf.DUMMYFUNCTION("IMPORTRANGE(""https://docs.google.com/spreadsheets/d/1SX6NBoVAgQJ6U1MVXOaj8PK2l7WJ3RER9xtqwdhxkhw/edit?usp=sharing"",""ลพบุรี!I407"")"),0)</f>
        <v>0</v>
      </c>
      <c r="J512" s="199">
        <f ca="1">IFERROR(__xludf.DUMMYFUNCTION("IMPORTRANGE(""https://docs.google.com/spreadsheets/d/1SX6NBoVAgQJ6U1MVXOaj8PK2l7WJ3RER9xtqwdhxkhw/edit?usp=sharing"",""ลพบุรี!J407"")"),0)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IFERROR(__xludf.DUMMYFUNCTION("IMPORTRANGE(""https://docs.google.com/spreadsheets/d/1SX6NBoVAgQJ6U1MVXOaj8PK2l7WJ3RER9xtqwdhxkhw/edit?usp=sharing"",""ลพบุรี!I408"")"),0)</f>
        <v>0</v>
      </c>
      <c r="J513" s="199">
        <f ca="1">IFERROR(__xludf.DUMMYFUNCTION("IMPORTRANGE(""https://docs.google.com/spreadsheets/d/1SX6NBoVAgQJ6U1MVXOaj8PK2l7WJ3RER9xtqwdhxkhw/edit?usp=sharing"",""ลพบุรี!J408"")"),0)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IFERROR(__xludf.DUMMYFUNCTION("IMPORTRANGE(""https://docs.google.com/spreadsheets/d/1SX6NBoVAgQJ6U1MVXOaj8PK2l7WJ3RER9xtqwdhxkhw/edit?usp=sharing"",""ลพบุรี!I409"")"),0)</f>
        <v>0</v>
      </c>
      <c r="J514" s="199">
        <f ca="1">IFERROR(__xludf.DUMMYFUNCTION("IMPORTRANGE(""https://docs.google.com/spreadsheets/d/1SX6NBoVAgQJ6U1MVXOaj8PK2l7WJ3RER9xtqwdhxkhw/edit?usp=sharing"",""ลพบุรี!J409"")"),0)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IFERROR(__xludf.DUMMYFUNCTION("IMPORTRANGE(""https://docs.google.com/spreadsheets/d/1SX6NBoVAgQJ6U1MVXOaj8PK2l7WJ3RER9xtqwdhxkhw/edit?usp=sharing"",""ลพบุรี!I410"")"),0)</f>
        <v>0</v>
      </c>
      <c r="J515" s="199">
        <f ca="1">IFERROR(__xludf.DUMMYFUNCTION("IMPORTRANGE(""https://docs.google.com/spreadsheets/d/1SX6NBoVAgQJ6U1MVXOaj8PK2l7WJ3RER9xtqwdhxkhw/edit?usp=sharing"",""ลพบุรี!J410"")"),0)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IFERROR(__xludf.DUMMYFUNCTION("IMPORTRANGE(""https://docs.google.com/spreadsheets/d/1SX6NBoVAgQJ6U1MVXOaj8PK2l7WJ3RER9xtqwdhxkhw/edit?usp=sharing"",""ลพบุรี!I412"")"),0)</f>
        <v>0</v>
      </c>
      <c r="J517" s="284">
        <f ca="1">IFERROR(__xludf.DUMMYFUNCTION("IMPORTRANGE(""https://docs.google.com/spreadsheets/d/1SX6NBoVAgQJ6U1MVXOaj8PK2l7WJ3RER9xtqwdhxkhw/edit?usp=sharing"",""ลพบุรี!J412"")"),0)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IFERROR(__xludf.DUMMYFUNCTION("IMPORTRANGE(""https://docs.google.com/spreadsheets/d/1SX6NBoVAgQJ6U1MVXOaj8PK2l7WJ3RER9xtqwdhxkhw/edit?usp=sharing"",""ลพบุรี!I413"")"),0)</f>
        <v>0</v>
      </c>
      <c r="J518" s="284">
        <f ca="1">IFERROR(__xludf.DUMMYFUNCTION("IMPORTRANGE(""https://docs.google.com/spreadsheets/d/1SX6NBoVAgQJ6U1MVXOaj8PK2l7WJ3RER9xtqwdhxkhw/edit?usp=sharing"",""ลพบุรี!J413"")"),0)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IFERROR(__xludf.DUMMYFUNCTION("IMPORTRANGE(""https://docs.google.com/spreadsheets/d/1SX6NBoVAgQJ6U1MVXOaj8PK2l7WJ3RER9xtqwdhxkhw/edit?usp=sharing"",""ลพบุรี!I414"")"),0)</f>
        <v>0</v>
      </c>
      <c r="J519" s="189">
        <f ca="1">IFERROR(__xludf.DUMMYFUNCTION("IMPORTRANGE(""https://docs.google.com/spreadsheets/d/1SX6NBoVAgQJ6U1MVXOaj8PK2l7WJ3RER9xtqwdhxkhw/edit?usp=sharing"",""ลพบุรี!J414"")"),0)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IFERROR(__xludf.DUMMYFUNCTION("IMPORTRANGE(""https://docs.google.com/spreadsheets/d/1SX6NBoVAgQJ6U1MVXOaj8PK2l7WJ3RER9xtqwdhxkhw/edit?usp=sharing"",""ลพบุรี!I415"")"),0)</f>
        <v>0</v>
      </c>
      <c r="J520" s="189">
        <f ca="1">IFERROR(__xludf.DUMMYFUNCTION("IMPORTRANGE(""https://docs.google.com/spreadsheets/d/1SX6NBoVAgQJ6U1MVXOaj8PK2l7WJ3RER9xtqwdhxkhw/edit?usp=sharing"",""ลพบุรี!J415"")"),0)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IFERROR(__xludf.DUMMYFUNCTION("IMPORTRANGE(""https://docs.google.com/spreadsheets/d/1SX6NBoVAgQJ6U1MVXOaj8PK2l7WJ3RER9xtqwdhxkhw/edit?usp=sharing"",""ลพบุรี!I416"")"),0)</f>
        <v>0</v>
      </c>
      <c r="J521" s="189">
        <f ca="1">IFERROR(__xludf.DUMMYFUNCTION("IMPORTRANGE(""https://docs.google.com/spreadsheets/d/1SX6NBoVAgQJ6U1MVXOaj8PK2l7WJ3RER9xtqwdhxkhw/edit?usp=sharing"",""ลพบุรี!J416"")"),0)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IFERROR(__xludf.DUMMYFUNCTION("IMPORTRANGE(""https://docs.google.com/spreadsheets/d/1SX6NBoVAgQJ6U1MVXOaj8PK2l7WJ3RER9xtqwdhxkhw/edit?usp=sharing"",""ลพบุรี!I417"")"),0)</f>
        <v>0</v>
      </c>
      <c r="J522" s="189">
        <f ca="1">IFERROR(__xludf.DUMMYFUNCTION("IMPORTRANGE(""https://docs.google.com/spreadsheets/d/1SX6NBoVAgQJ6U1MVXOaj8PK2l7WJ3RER9xtqwdhxkhw/edit?usp=sharing"",""ลพบุรี!J417"")"),0)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IFERROR(__xludf.DUMMYFUNCTION("IMPORTRANGE(""https://docs.google.com/spreadsheets/d/1SX6NBoVAgQJ6U1MVXOaj8PK2l7WJ3RER9xtqwdhxkhw/edit?usp=sharing"",""ลพบุรี!I418"")"),0)</f>
        <v>0</v>
      </c>
      <c r="J523" s="189">
        <f ca="1">IFERROR(__xludf.DUMMYFUNCTION("IMPORTRANGE(""https://docs.google.com/spreadsheets/d/1SX6NBoVAgQJ6U1MVXOaj8PK2l7WJ3RER9xtqwdhxkhw/edit?usp=sharing"",""ลพบุรี!J418"")"),0)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IFERROR(__xludf.DUMMYFUNCTION("IMPORTRANGE(""https://docs.google.com/spreadsheets/d/1SX6NBoVAgQJ6U1MVXOaj8PK2l7WJ3RER9xtqwdhxkhw/edit?usp=sharing"",""ลพบุรี!I419"")"),0)</f>
        <v>0</v>
      </c>
      <c r="J524" s="189">
        <f ca="1">IFERROR(__xludf.DUMMYFUNCTION("IMPORTRANGE(""https://docs.google.com/spreadsheets/d/1SX6NBoVAgQJ6U1MVXOaj8PK2l7WJ3RER9xtqwdhxkhw/edit?usp=sharing"",""ลพบุรี!J419"")"),0)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IFERROR(__xludf.DUMMYFUNCTION("IMPORTRANGE(""https://docs.google.com/spreadsheets/d/1SX6NBoVAgQJ6U1MVXOaj8PK2l7WJ3RER9xtqwdhxkhw/edit?usp=sharing"",""ลพบุรี!I420"")"),0)</f>
        <v>0</v>
      </c>
      <c r="J525" s="284">
        <f ca="1">IFERROR(__xludf.DUMMYFUNCTION("IMPORTRANGE(""https://docs.google.com/spreadsheets/d/1SX6NBoVAgQJ6U1MVXOaj8PK2l7WJ3RER9xtqwdhxkhw/edit?usp=sharing"",""ลพบุรี!J420"")"),0)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IFERROR(__xludf.DUMMYFUNCTION("IMPORTRANGE(""https://docs.google.com/spreadsheets/d/1SX6NBoVAgQJ6U1MVXOaj8PK2l7WJ3RER9xtqwdhxkhw/edit?usp=sharing"",""ลพบุรี!I421"")"),0)</f>
        <v>0</v>
      </c>
      <c r="J526" s="284">
        <f ca="1">IFERROR(__xludf.DUMMYFUNCTION("IMPORTRANGE(""https://docs.google.com/spreadsheets/d/1SX6NBoVAgQJ6U1MVXOaj8PK2l7WJ3RER9xtqwdhxkhw/edit?usp=sharing"",""ลพบุรี!J421"")"),0)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IFERROR(__xludf.DUMMYFUNCTION("IMPORTRANGE(""https://docs.google.com/spreadsheets/d/1SX6NBoVAgQJ6U1MVXOaj8PK2l7WJ3RER9xtqwdhxkhw/edit?usp=sharing"",""ลพบุรี!I422"")"),0)</f>
        <v>0</v>
      </c>
      <c r="J527" s="199">
        <f ca="1">IFERROR(__xludf.DUMMYFUNCTION("IMPORTRANGE(""https://docs.google.com/spreadsheets/d/1SX6NBoVAgQJ6U1MVXOaj8PK2l7WJ3RER9xtqwdhxkhw/edit?usp=sharing"",""ลพบุรี!J422"")"),0)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IFERROR(__xludf.DUMMYFUNCTION("IMPORTRANGE(""https://docs.google.com/spreadsheets/d/1SX6NBoVAgQJ6U1MVXOaj8PK2l7WJ3RER9xtqwdhxkhw/edit?usp=sharing"",""ลพบุรี!I423"")"),0)</f>
        <v>0</v>
      </c>
      <c r="J528" s="199">
        <f ca="1">IFERROR(__xludf.DUMMYFUNCTION("IMPORTRANGE(""https://docs.google.com/spreadsheets/d/1SX6NBoVAgQJ6U1MVXOaj8PK2l7WJ3RER9xtqwdhxkhw/edit?usp=sharing"",""ลพบุรี!J423"")"),0)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IFERROR(__xludf.DUMMYFUNCTION("IMPORTRANGE(""https://docs.google.com/spreadsheets/d/1SX6NBoVAgQJ6U1MVXOaj8PK2l7WJ3RER9xtqwdhxkhw/edit?usp=sharing"",""ลพบุรี!I424"")"),0)</f>
        <v>0</v>
      </c>
      <c r="J529" s="199">
        <f ca="1">IFERROR(__xludf.DUMMYFUNCTION("IMPORTRANGE(""https://docs.google.com/spreadsheets/d/1SX6NBoVAgQJ6U1MVXOaj8PK2l7WJ3RER9xtqwdhxkhw/edit?usp=sharing"",""ลพบุรี!J424"")"),0)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IFERROR(__xludf.DUMMYFUNCTION("IMPORTRANGE(""https://docs.google.com/spreadsheets/d/1SX6NBoVAgQJ6U1MVXOaj8PK2l7WJ3RER9xtqwdhxkhw/edit?usp=sharing"",""ลพบุรี!I425"")"),0)</f>
        <v>0</v>
      </c>
      <c r="J530" s="199">
        <f ca="1">IFERROR(__xludf.DUMMYFUNCTION("IMPORTRANGE(""https://docs.google.com/spreadsheets/d/1SX6NBoVAgQJ6U1MVXOaj8PK2l7WJ3RER9xtqwdhxkhw/edit?usp=sharing"",""ลพบุรี!J425"")"),0)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IFERROR(__xludf.DUMMYFUNCTION("IMPORTRANGE(""https://docs.google.com/spreadsheets/d/1SX6NBoVAgQJ6U1MVXOaj8PK2l7WJ3RER9xtqwdhxkhw/edit?usp=sharing"",""ลพบุรี!I426"")"),0)</f>
        <v>0</v>
      </c>
      <c r="J531" s="199">
        <f ca="1">IFERROR(__xludf.DUMMYFUNCTION("IMPORTRANGE(""https://docs.google.com/spreadsheets/d/1SX6NBoVAgQJ6U1MVXOaj8PK2l7WJ3RER9xtqwdhxkhw/edit?usp=sharing"",""ลพบุรี!J426"")"),0)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IFERROR(__xludf.DUMMYFUNCTION("IMPORTRANGE(""https://docs.google.com/spreadsheets/d/1SX6NBoVAgQJ6U1MVXOaj8PK2l7WJ3RER9xtqwdhxkhw/edit?usp=sharing"",""ลพบุรี!M428"")"),20900)</f>
        <v>20900</v>
      </c>
      <c r="O533" s="412">
        <f t="shared" ref="O533:O537" ca="1" si="118">+IF(L533&gt;0,N533*100/L533,0)</f>
        <v>60.861968549796153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IFERROR(__xludf.DUMMYFUNCTION("IMPORTRANGE(""https://docs.google.com/spreadsheets/d/1SX6NBoVAgQJ6U1MVXOaj8PK2l7WJ3RER9xtqwdhxkhw/edit?usp=sharing"",""ลพบุรี!L429"")"),0)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IFERROR(__xludf.DUMMYFUNCTION("IMPORTRANGE(""https://docs.google.com/spreadsheets/d/1SX6NBoVAgQJ6U1MVXOaj8PK2l7WJ3RER9xtqwdhxkhw/edit?usp=sharing"",""ลพบุรี!M429"")"),0)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IFERROR(__xludf.DUMMYFUNCTION("IMPORTRANGE(""https://docs.google.com/spreadsheets/d/1SX6NBoVAgQJ6U1MVXOaj8PK2l7WJ3RER9xtqwdhxkhw/edit?usp=sharing"",""ลพบุรี!L430"")"),34340)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IFERROR(__xludf.DUMMYFUNCTION("IMPORTRANGE(""https://docs.google.com/spreadsheets/d/1SX6NBoVAgQJ6U1MVXOaj8PK2l7WJ3RER9xtqwdhxkhw/edit?usp=sharing"",""ลพบุรี!M430"")"),20900)</f>
        <v>20900</v>
      </c>
      <c r="O535" s="170">
        <f t="shared" ca="1" si="118"/>
        <v>60.861968549796153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IFERROR(__xludf.DUMMYFUNCTION("IMPORTRANGE(""https://docs.google.com/spreadsheets/d/1SX6NBoVAgQJ6U1MVXOaj8PK2l7WJ3RER9xtqwdhxkhw/edit?usp=sharing"",""ลพบุรี!L431"")"),0)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IFERROR(__xludf.DUMMYFUNCTION("IMPORTRANGE(""https://docs.google.com/spreadsheets/d/1SX6NBoVAgQJ6U1MVXOaj8PK2l7WJ3RER9xtqwdhxkhw/edit?usp=sharing"",""ลพบุรี!M431"")"),0)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IFERROR(__xludf.DUMMYFUNCTION("IMPORTRANGE(""https://docs.google.com/spreadsheets/d/1SX6NBoVAgQJ6U1MVXOaj8PK2l7WJ3RER9xtqwdhxkhw/edit?usp=sharing"",""ลพบุรี!L432"")"),34340)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IFERROR(__xludf.DUMMYFUNCTION("IMPORTRANGE(""https://docs.google.com/spreadsheets/d/1SX6NBoVAgQJ6U1MVXOaj8PK2l7WJ3RER9xtqwdhxkhw/edit?usp=sharing"",""ลพบุรี!M432"")"),20900)</f>
        <v>20900</v>
      </c>
      <c r="O537" s="170">
        <f t="shared" ca="1" si="118"/>
        <v>60.861968549796153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IFERROR(__xludf.DUMMYFUNCTION("IMPORTRANGE(""https://docs.google.com/spreadsheets/d/1SX6NBoVAgQJ6U1MVXOaj8PK2l7WJ3RER9xtqwdhxkhw/edit?usp=sharing"",""ลพบุรี!M436"")"),2160)</f>
        <v>2160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IFERROR(__xludf.DUMMYFUNCTION("IMPORTRANGE(""https://docs.google.com/spreadsheets/d/1SX6NBoVAgQJ6U1MVXOaj8PK2l7WJ3RER9xtqwdhxkhw/edit?usp=sharing"",""ลพบุรี!J438"")"),0)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IFERROR(__xludf.DUMMYFUNCTION("IMPORTRANGE(""https://docs.google.com/spreadsheets/d/1SX6NBoVAgQJ6U1MVXOaj8PK2l7WJ3RER9xtqwdhxkhw/edit?usp=sharing"",""ลพบุรี!J439"")"),1)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IFERROR(__xludf.DUMMYFUNCTION("IMPORTRANGE(""https://docs.google.com/spreadsheets/d/1SX6NBoVAgQJ6U1MVXOaj8PK2l7WJ3RER9xtqwdhxkhw/edit?usp=sharing"",""ลพบุรี!J440"")"),1)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IFERROR(__xludf.DUMMYFUNCTION("IMPORTRANGE(""https://docs.google.com/spreadsheets/d/1SX6NBoVAgQJ6U1MVXOaj8PK2l7WJ3RER9xtqwdhxkhw/edit?usp=sharing"",""ลพบุรี!J441"")"),1)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IFERROR(__xludf.DUMMYFUNCTION("IMPORTRANGE(""https://docs.google.com/spreadsheets/d/1SX6NBoVAgQJ6U1MVXOaj8PK2l7WJ3RER9xtqwdhxkhw/edit?usp=sharing"",""ลพบุรี!I442"")"),22)</f>
        <v>22</v>
      </c>
      <c r="J547" s="190">
        <f ca="1">IFERROR(__xludf.DUMMYFUNCTION("IMPORTRANGE(""https://docs.google.com/spreadsheets/d/1SX6NBoVAgQJ6U1MVXOaj8PK2l7WJ3RER9xtqwdhxkhw/edit?usp=sharing"",""ลพบุรี!J442"")"),22)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IFERROR(__xludf.DUMMYFUNCTION("IMPORTRANGE(""https://docs.google.com/spreadsheets/d/1SX6NBoVAgQJ6U1MVXOaj8PK2l7WJ3RER9xtqwdhxkhw/edit?usp=sharing"",""ลพบุรี!J166"")"),0)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IFERROR(__xludf.DUMMYFUNCTION("IMPORTRANGE(""https://docs.google.com/spreadsheets/d/1SX6NBoVAgQJ6U1MVXOaj8PK2l7WJ3RER9xtqwdhxkhw/edit?usp=sharing"",""ลพบุรี!J444"")"),1)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IFERROR(__xludf.DUMMYFUNCTION("IMPORTRANGE(""https://docs.google.com/spreadsheets/d/1SX6NBoVAgQJ6U1MVXOaj8PK2l7WJ3RER9xtqwdhxkhw/edit?usp=sharing"",""ลพบุรี!L447"")"),0)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IFERROR(__xludf.DUMMYFUNCTION("IMPORTRANGE(""https://docs.google.com/spreadsheets/d/1SX6NBoVAgQJ6U1MVXOaj8PK2l7WJ3RER9xtqwdhxkhw/edit?usp=sharing"",""ลพบุรี!M447"")"),0)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IFERROR(__xludf.DUMMYFUNCTION("IMPORTRANGE(""https://docs.google.com/spreadsheets/d/1SX6NBoVAgQJ6U1MVXOaj8PK2l7WJ3RER9xtqwdhxkhw/edit?usp=sharing"",""ลพบุรี!L448"")"),0)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IFERROR(__xludf.DUMMYFUNCTION("IMPORTRANGE(""https://docs.google.com/spreadsheets/d/1SX6NBoVAgQJ6U1MVXOaj8PK2l7WJ3RER9xtqwdhxkhw/edit?usp=sharing"",""ลพบุรี!M448"")"),0)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IFERROR(__xludf.DUMMYFUNCTION("IMPORTRANGE(""https://docs.google.com/spreadsheets/d/1SX6NBoVAgQJ6U1MVXOaj8PK2l7WJ3RER9xtqwdhxkhw/edit?usp=sharing"",""ลพบุรี!L449"")"),0)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IFERROR(__xludf.DUMMYFUNCTION("IMPORTRANGE(""https://docs.google.com/spreadsheets/d/1SX6NBoVAgQJ6U1MVXOaj8PK2l7WJ3RER9xtqwdhxkhw/edit?usp=sharing"",""ลพบุรี!M449"")"),0)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IFERROR(__xludf.DUMMYFUNCTION("IMPORTRANGE(""https://docs.google.com/spreadsheets/d/1SX6NBoVAgQJ6U1MVXOaj8PK2l7WJ3RER9xtqwdhxkhw/edit?usp=sharing"",""ลพบุรี!L450"")"),0)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IFERROR(__xludf.DUMMYFUNCTION("IMPORTRANGE(""https://docs.google.com/spreadsheets/d/1SX6NBoVAgQJ6U1MVXOaj8PK2l7WJ3RER9xtqwdhxkhw/edit?usp=sharing"",""ลพบุรี!M450"")"),0)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IFERROR(__xludf.DUMMYFUNCTION("IMPORTRANGE(""https://docs.google.com/spreadsheets/d/1SX6NBoVAgQJ6U1MVXOaj8PK2l7WJ3RER9xtqwdhxkhw/edit?usp=sharing"",""ลพบุรี!M451"")"),0)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IFERROR(__xludf.DUMMYFUNCTION("IMPORTRANGE(""https://docs.google.com/spreadsheets/d/1SX6NBoVAgQJ6U1MVXOaj8PK2l7WJ3RER9xtqwdhxkhw/edit?usp=sharing"",""ลพบุรี!M452"")"),0)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IFERROR(__xludf.DUMMYFUNCTION("IMPORTRANGE(""https://docs.google.com/spreadsheets/d/1SX6NBoVAgQJ6U1MVXOaj8PK2l7WJ3RER9xtqwdhxkhw/edit?usp=sharing"",""ลพบุรี!M453"")"),0)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IFERROR(__xludf.DUMMYFUNCTION("IMPORTRANGE(""https://docs.google.com/spreadsheets/d/1SX6NBoVAgQJ6U1MVXOaj8PK2l7WJ3RER9xtqwdhxkhw/edit?usp=sharing"",""ลพบุรี!M454"")"),0)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IFERROR(__xludf.DUMMYFUNCTION("IMPORTRANGE(""https://docs.google.com/spreadsheets/d/1SX6NBoVAgQJ6U1MVXOaj8PK2l7WJ3RER9xtqwdhxkhw/edit?usp=sharing"",""ลพบุรี!I455"")"),0)</f>
        <v>0</v>
      </c>
      <c r="J560" s="164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IFERROR(__xludf.DUMMYFUNCTION("IMPORTRANGE(""https://docs.google.com/spreadsheets/d/1SX6NBoVAgQJ6U1MVXOaj8PK2l7WJ3RER9xtqwdhxkhw/edit?usp=sharing"",""ลพบุรี!I456"")"),0)</f>
        <v>0</v>
      </c>
      <c r="J561" s="205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IFERROR(__xludf.DUMMYFUNCTION("IMPORTRANGE(""https://docs.google.com/spreadsheets/d/1SX6NBoVAgQJ6U1MVXOaj8PK2l7WJ3RER9xtqwdhxkhw/edit?usp=sharing"",""ลพบุรี!I457"")"),0)</f>
        <v>0</v>
      </c>
      <c r="J562" s="205" t="str">
        <f ca="1">IFERROR(__xludf.DUMMYFUNCTION("IMPORTRANGE(""https://docs.google.com/spreadsheets/d/1SX6NBoVAgQJ6U1MVXOaj8PK2l7WJ3RER9xtqwdhxkhw/edit?usp=sharing"",""ลพบุรี!J457"")"),"")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IFERROR(__xludf.DUMMYFUNCTION("IMPORTRANGE(""https://docs.google.com/spreadsheets/d/1SX6NBoVAgQJ6U1MVXOaj8PK2l7WJ3RER9xtqwdhxkhw/edit?usp=sharing"",""ลพบุรี!I458"")"),0)</f>
        <v>0</v>
      </c>
      <c r="J563" s="189" t="str">
        <f ca="1">IFERROR(__xludf.DUMMYFUNCTION("IMPORTRANGE(""https://docs.google.com/spreadsheets/d/1SX6NBoVAgQJ6U1MVXOaj8PK2l7WJ3RER9xtqwdhxkhw/edit?usp=sharing"",""ลพบุรี!J458"")"),"")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IFERROR(__xludf.DUMMYFUNCTION("IMPORTRANGE(""https://docs.google.com/spreadsheets/d/1SX6NBoVAgQJ6U1MVXOaj8PK2l7WJ3RER9xtqwdhxkhw/edit?usp=sharing"",""ลพบุรี!J459"")"),1875)</f>
        <v>1875</v>
      </c>
      <c r="K564" s="372">
        <f t="shared" ca="1" si="121"/>
        <v>138.88888888888889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IFERROR(__xludf.DUMMYFUNCTION("IMPORTRANGE(""https://docs.google.com/spreadsheets/d/1SX6NBoVAgQJ6U1MVXOaj8PK2l7WJ3RER9xtqwdhxkhw/edit?usp=sharing"",""ลพบุรี!L460"")"),0)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IFERROR(__xludf.DUMMYFUNCTION("IMPORTRANGE(""https://docs.google.com/spreadsheets/d/1SX6NBoVAgQJ6U1MVXOaj8PK2l7WJ3RER9xtqwdhxkhw/edit?usp=sharing"",""ลพบุรี!M460"")"),0)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IFERROR(__xludf.DUMMYFUNCTION("IMPORTRANGE(""https://docs.google.com/spreadsheets/d/1SX6NBoVAgQJ6U1MVXOaj8PK2l7WJ3RER9xtqwdhxkhw/edit?usp=sharing"",""ลพบุรี!L461"")"),127680)</f>
        <v>127680</v>
      </c>
      <c r="M566" s="167"/>
      <c r="N566" s="170">
        <f ca="1">IFERROR(__xludf.DUMMYFUNCTION("IMPORTRANGE(""https://docs.google.com/spreadsheets/d/1SX6NBoVAgQJ6U1MVXOaj8PK2l7WJ3RER9xtqwdhxkhw/edit?usp=sharing"",""ลพบุรี!M461"")"),52410)</f>
        <v>52410</v>
      </c>
      <c r="O566" s="170">
        <f t="shared" ca="1" si="122"/>
        <v>41.047932330827066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IFERROR(__xludf.DUMMYFUNCTION("IMPORTRANGE(""https://docs.google.com/spreadsheets/d/1SX6NBoVAgQJ6U1MVXOaj8PK2l7WJ3RER9xtqwdhxkhw/edit?usp=sharing"",""ลพบุรี!L462"")"),0)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IFERROR(__xludf.DUMMYFUNCTION("IMPORTRANGE(""https://docs.google.com/spreadsheets/d/1SX6NBoVAgQJ6U1MVXOaj8PK2l7WJ3RER9xtqwdhxkhw/edit?usp=sharing"",""ลพบุรี!M462"")"),0)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IFERROR(__xludf.DUMMYFUNCTION("IMPORTRANGE(""https://docs.google.com/spreadsheets/d/1SX6NBoVAgQJ6U1MVXOaj8PK2l7WJ3RER9xtqwdhxkhw/edit?usp=sharing"",""ลพบุรี!L463"")"),127680)</f>
        <v>127680</v>
      </c>
      <c r="M568" s="170"/>
      <c r="N568" s="170">
        <f ca="1">IFERROR(__xludf.DUMMYFUNCTION("IMPORTRANGE(""https://docs.google.com/spreadsheets/d/1SX6NBoVAgQJ6U1MVXOaj8PK2l7WJ3RER9xtqwdhxkhw/edit?usp=sharing"",""ลพบุรี!M463"")"),52410)</f>
        <v>52410</v>
      </c>
      <c r="O568" s="170">
        <f t="shared" ca="1" si="122"/>
        <v>41.047932330827066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IFERROR(__xludf.DUMMYFUNCTION("IMPORTRANGE(""https://docs.google.com/spreadsheets/d/1SX6NBoVAgQJ6U1MVXOaj8PK2l7WJ3RER9xtqwdhxkhw/edit?usp=sharing"",""ลพบุรี!M464"")"),0)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IFERROR(__xludf.DUMMYFUNCTION("IMPORTRANGE(""https://docs.google.com/spreadsheets/d/1SX6NBoVAgQJ6U1MVXOaj8PK2l7WJ3RER9xtqwdhxkhw/edit?usp=sharing"",""ลพบุรี!M465"")"),0)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IFERROR(__xludf.DUMMYFUNCTION("IMPORTRANGE(""https://docs.google.com/spreadsheets/d/1SX6NBoVAgQJ6U1MVXOaj8PK2l7WJ3RER9xtqwdhxkhw/edit?usp=sharing"",""ลพบุรี!J468"")"),1875)</f>
        <v>1875</v>
      </c>
      <c r="K573" s="203">
        <f ca="1">IF(I573&gt;0,J573*100/I573,0)</f>
        <v>138.88888888888889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IFERROR(__xludf.DUMMYFUNCTION("IMPORTRANGE(""https://docs.google.com/spreadsheets/d/1SX6NBoVAgQJ6U1MVXOaj8PK2l7WJ3RER9xtqwdhxkhw/edit?usp=sharing"",""ลพบุรี!I470"")"),0)</f>
        <v>0</v>
      </c>
      <c r="J575" s="199">
        <f ca="1">IFERROR(__xludf.DUMMYFUNCTION("IMPORTRANGE(""https://docs.google.com/spreadsheets/d/1SX6NBoVAgQJ6U1MVXOaj8PK2l7WJ3RER9xtqwdhxkhw/edit?usp=sharing"",""ลพบุรี!J470"")"),4)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IFERROR(__xludf.DUMMYFUNCTION("IMPORTRANGE(""https://docs.google.com/spreadsheets/d/1SX6NBoVAgQJ6U1MVXOaj8PK2l7WJ3RER9xtqwdhxkhw/edit?usp=sharing"",""ลพบุรี!I471"")"),0)</f>
        <v>0</v>
      </c>
      <c r="J576" s="199">
        <f ca="1">IFERROR(__xludf.DUMMYFUNCTION("IMPORTRANGE(""https://docs.google.com/spreadsheets/d/1SX6NBoVAgQJ6U1MVXOaj8PK2l7WJ3RER9xtqwdhxkhw/edit?usp=sharing"",""ลพบุรี!J471"")"),250)</f>
        <v>250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IFERROR(__xludf.DUMMYFUNCTION("IMPORTRANGE(""https://docs.google.com/spreadsheets/d/1SX6NBoVAgQJ6U1MVXOaj8PK2l7WJ3RER9xtqwdhxkhw/edit?usp=sharing"",""ลพบุรี!I472"")"),0)</f>
        <v>0</v>
      </c>
      <c r="J577" s="190">
        <f ca="1">IFERROR(__xludf.DUMMYFUNCTION("IMPORTRANGE(""https://docs.google.com/spreadsheets/d/1SX6NBoVAgQJ6U1MVXOaj8PK2l7WJ3RER9xtqwdhxkhw/edit?usp=sharing"",""ลพบุรี!J472"")"),1625)</f>
        <v>1625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IFERROR(__xludf.DUMMYFUNCTION("IMPORTRANGE(""https://docs.google.com/spreadsheets/d/1SX6NBoVAgQJ6U1MVXOaj8PK2l7WJ3RER9xtqwdhxkhw/edit?usp=sharing"",""ลพบุรี!I473"")"),0)</f>
        <v>0</v>
      </c>
      <c r="J578" s="199">
        <f ca="1">IFERROR(__xludf.DUMMYFUNCTION("IMPORTRANGE(""https://docs.google.com/spreadsheets/d/1SX6NBoVAgQJ6U1MVXOaj8PK2l7WJ3RER9xtqwdhxkhw/edit?usp=sharing"",""ลพบุรี!J473"")"),0)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IFERROR(__xludf.DUMMYFUNCTION("IMPORTRANGE(""https://docs.google.com/spreadsheets/d/1SX6NBoVAgQJ6U1MVXOaj8PK2l7WJ3RER9xtqwdhxkhw/edit?usp=sharing"",""ลพบุรี!I474"")"),0)</f>
        <v>0</v>
      </c>
      <c r="J579" s="199">
        <f ca="1">IFERROR(__xludf.DUMMYFUNCTION("IMPORTRANGE(""https://docs.google.com/spreadsheets/d/1SX6NBoVAgQJ6U1MVXOaj8PK2l7WJ3RER9xtqwdhxkhw/edit?usp=sharing"",""ลพบุรี!J474"")"),0)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IFERROR(__xludf.DUMMYFUNCTION("IMPORTRANGE(""https://docs.google.com/spreadsheets/d/1SX6NBoVAgQJ6U1MVXOaj8PK2l7WJ3RER9xtqwdhxkhw/edit?usp=sharing"",""ลพบุรี!L476"")"),0)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IFERROR(__xludf.DUMMYFUNCTION("IMPORTRANGE(""https://docs.google.com/spreadsheets/d/1SX6NBoVAgQJ6U1MVXOaj8PK2l7WJ3RER9xtqwdhxkhw/edit?usp=sharing"",""ลพบุรี!M476"")"),0)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IFERROR(__xludf.DUMMYFUNCTION("IMPORTRANGE(""https://docs.google.com/spreadsheets/d/1SX6NBoVAgQJ6U1MVXOaj8PK2l7WJ3RER9xtqwdhxkhw/edit?usp=sharing"",""ลพบุรี!L477"")"),0)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IFERROR(__xludf.DUMMYFUNCTION("IMPORTRANGE(""https://docs.google.com/spreadsheets/d/1SX6NBoVAgQJ6U1MVXOaj8PK2l7WJ3RER9xtqwdhxkhw/edit?usp=sharing"",""ลพบุรี!M477"")"),0)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IFERROR(__xludf.DUMMYFUNCTION("IMPORTRANGE(""https://docs.google.com/spreadsheets/d/1SX6NBoVAgQJ6U1MVXOaj8PK2l7WJ3RER9xtqwdhxkhw/edit?usp=sharing"",""ลพบุรี!L478"")"),0)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IFERROR(__xludf.DUMMYFUNCTION("IMPORTRANGE(""https://docs.google.com/spreadsheets/d/1SX6NBoVAgQJ6U1MVXOaj8PK2l7WJ3RER9xtqwdhxkhw/edit?usp=sharing"",""ลพบุรี!M478"")"),0)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IFERROR(__xludf.DUMMYFUNCTION("IMPORTRANGE(""https://docs.google.com/spreadsheets/d/1SX6NBoVAgQJ6U1MVXOaj8PK2l7WJ3RER9xtqwdhxkhw/edit?usp=sharing"",""ลพบุรี!L479"")"),0)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IFERROR(__xludf.DUMMYFUNCTION("IMPORTRANGE(""https://docs.google.com/spreadsheets/d/1SX6NBoVAgQJ6U1MVXOaj8PK2l7WJ3RER9xtqwdhxkhw/edit?usp=sharing"",""ลพบุรี!M479"")"),0)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IFERROR(__xludf.DUMMYFUNCTION("IMPORTRANGE(""https://docs.google.com/spreadsheets/d/1SX6NBoVAgQJ6U1MVXOaj8PK2l7WJ3RER9xtqwdhxkhw/edit?usp=sharing"",""ลพบุรี!M480"")"),0)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IFERROR(__xludf.DUMMYFUNCTION("IMPORTRANGE(""https://docs.google.com/spreadsheets/d/1SX6NBoVAgQJ6U1MVXOaj8PK2l7WJ3RER9xtqwdhxkhw/edit?usp=sharing"",""ลพบุรี!M481"")"),0)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IFERROR(__xludf.DUMMYFUNCTION("IMPORTRANGE(""https://docs.google.com/spreadsheets/d/1SX6NBoVAgQJ6U1MVXOaj8PK2l7WJ3RER9xtqwdhxkhw/edit?usp=sharing"",""ลพบุรี!M482"")"),0)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IFERROR(__xludf.DUMMYFUNCTION("IMPORTRANGE(""https://docs.google.com/spreadsheets/d/1SX6NBoVAgQJ6U1MVXOaj8PK2l7WJ3RER9xtqwdhxkhw/edit?usp=sharing"",""ลพบุรี!M483"")"),0)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IFERROR(__xludf.DUMMYFUNCTION("IMPORTRANGE(""https://docs.google.com/spreadsheets/d/1SX6NBoVAgQJ6U1MVXOaj8PK2l7WJ3RER9xtqwdhxkhw/edit?usp=sharing"",""ลพบุรี!I484"")"),0)</f>
        <v>0</v>
      </c>
      <c r="J589" s="189">
        <f ca="1">IFERROR(__xludf.DUMMYFUNCTION("IMPORTRANGE(""https://docs.google.com/spreadsheets/d/1SX6NBoVAgQJ6U1MVXOaj8PK2l7WJ3RER9xtqwdhxkhw/edit?usp=sharing"",""ลพบุรี!J484"")"),2)</f>
        <v>2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9">
        <f ca="1">IFERROR(__xludf.DUMMYFUNCTION("IMPORTRANGE(""https://docs.google.com/spreadsheets/d/1SX6NBoVAgQJ6U1MVXOaj8PK2l7WJ3RER9xtqwdhxkhw/edit?usp=sharing"",""ลพบุรี!J485"")"),2.04)</f>
        <v>2.04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IFERROR(__xludf.DUMMYFUNCTION("IMPORTRANGE(""https://docs.google.com/spreadsheets/d/1SX6NBoVAgQJ6U1MVXOaj8PK2l7WJ3RER9xtqwdhxkhw/edit?usp=sharing"",""ลพบุรี!I486"")"),0)</f>
        <v>0</v>
      </c>
      <c r="J591" s="189">
        <f ca="1">IFERROR(__xludf.DUMMYFUNCTION("IMPORTRANGE(""https://docs.google.com/spreadsheets/d/1SX6NBoVAgQJ6U1MVXOaj8PK2l7WJ3RER9xtqwdhxkhw/edit?usp=sharing"",""ลพบุรี!J486"")"),6)</f>
        <v>6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9">
        <f ca="1">IFERROR(__xludf.DUMMYFUNCTION("IMPORTRANGE(""https://docs.google.com/spreadsheets/d/1SX6NBoVAgQJ6U1MVXOaj8PK2l7WJ3RER9xtqwdhxkhw/edit?usp=sharing"",""ลพบุรี!J487"")"),2.7)</f>
        <v>2.7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IFERROR(__xludf.DUMMYFUNCTION("IMPORTRANGE(""https://docs.google.com/spreadsheets/d/1SX6NBoVAgQJ6U1MVXOaj8PK2l7WJ3RER9xtqwdhxkhw/edit?usp=sharing"",""ลพบุรี!I488"")"),0)</f>
        <v>0</v>
      </c>
      <c r="J593" s="189">
        <f ca="1">IFERROR(__xludf.DUMMYFUNCTION("IMPORTRANGE(""https://docs.google.com/spreadsheets/d/1SX6NBoVAgQJ6U1MVXOaj8PK2l7WJ3RER9xtqwdhxkhw/edit?usp=sharing"",""ลพบุรี!J488"")"),1)</f>
        <v>1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9">
        <f ca="1">IFERROR(__xludf.DUMMYFUNCTION("IMPORTRANGE(""https://docs.google.com/spreadsheets/d/1SX6NBoVAgQJ6U1MVXOaj8PK2l7WJ3RER9xtqwdhxkhw/edit?usp=sharing"",""ลพบุรี!J489"")"),0.59)</f>
        <v>0.59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IFERROR(__xludf.DUMMYFUNCTION("IMPORTRANGE(""https://docs.google.com/spreadsheets/d/1SX6NBoVAgQJ6U1MVXOaj8PK2l7WJ3RER9xtqwdhxkhw/edit?usp=sharing"",""ลพบุรี!I490"")"),0)</f>
        <v>0</v>
      </c>
      <c r="J595" s="189">
        <f ca="1">IFERROR(__xludf.DUMMYFUNCTION("IMPORTRANGE(""https://docs.google.com/spreadsheets/d/1SX6NBoVAgQJ6U1MVXOaj8PK2l7WJ3RER9xtqwdhxkhw/edit?usp=sharing"",""ลพบุรี!J490"")"),3)</f>
        <v>3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IFERROR(__xludf.DUMMYFUNCTION("IMPORTRANGE(""https://docs.google.com/spreadsheets/d/1SX6NBoVAgQJ6U1MVXOaj8PK2l7WJ3RER9xtqwdhxkhw/edit?usp=sharing"",""ลพบุรี!J491"")"),1.51)</f>
        <v>1.51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7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IFERROR(__xludf.DUMMYFUNCTION("IMPORTRANGE(""https://docs.google.com/spreadsheets/d/1SX6NBoVAgQJ6U1MVXOaj8PK2l7WJ3RER9xtqwdhxkhw/edit?usp=sharing"",""ลพบุรี!L493"")"),0)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IFERROR(__xludf.DUMMYFUNCTION("IMPORTRANGE(""https://docs.google.com/spreadsheets/d/1SX6NBoVAgQJ6U1MVXOaj8PK2l7WJ3RER9xtqwdhxkhw/edit?usp=sharing"",""ลพบุรี!M493"")"),0)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IFERROR(__xludf.DUMMYFUNCTION("IMPORTRANGE(""https://docs.google.com/spreadsheets/d/1SX6NBoVAgQJ6U1MVXOaj8PK2l7WJ3RER9xtqwdhxkhw/edit?usp=sharing"",""ลพบุรี!L494"")"),8900)</f>
        <v>8900</v>
      </c>
      <c r="M599" s="167"/>
      <c r="N599" s="170">
        <f ca="1">IFERROR(__xludf.DUMMYFUNCTION("IMPORTRANGE(""https://docs.google.com/spreadsheets/d/1SX6NBoVAgQJ6U1MVXOaj8PK2l7WJ3RER9xtqwdhxkhw/edit?usp=sharing"",""ลพบุรี!M494"")"),648)</f>
        <v>648</v>
      </c>
      <c r="O599" s="170">
        <f t="shared" ca="1" si="126"/>
        <v>7.2808988764044944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IFERROR(__xludf.DUMMYFUNCTION("IMPORTRANGE(""https://docs.google.com/spreadsheets/d/1SX6NBoVAgQJ6U1MVXOaj8PK2l7WJ3RER9xtqwdhxkhw/edit?usp=sharing"",""ลพบุรี!L495"")"),0)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IFERROR(__xludf.DUMMYFUNCTION("IMPORTRANGE(""https://docs.google.com/spreadsheets/d/1SX6NBoVAgQJ6U1MVXOaj8PK2l7WJ3RER9xtqwdhxkhw/edit?usp=sharing"",""ลพบุรี!M495"")"),0)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IFERROR(__xludf.DUMMYFUNCTION("IMPORTRANGE(""https://docs.google.com/spreadsheets/d/1SX6NBoVAgQJ6U1MVXOaj8PK2l7WJ3RER9xtqwdhxkhw/edit?usp=sharing"",""ลพบุรี!L496"")"),8900)</f>
        <v>8900</v>
      </c>
      <c r="M601" s="170"/>
      <c r="N601" s="170">
        <f ca="1">IFERROR(__xludf.DUMMYFUNCTION("IMPORTRANGE(""https://docs.google.com/spreadsheets/d/1SX6NBoVAgQJ6U1MVXOaj8PK2l7WJ3RER9xtqwdhxkhw/edit?usp=sharing"",""ลพบุรี!M496"")"),648)</f>
        <v>648</v>
      </c>
      <c r="O601" s="170">
        <f t="shared" ca="1" si="126"/>
        <v>7.2808988764044944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IFERROR(__xludf.DUMMYFUNCTION("IMPORTRANGE(""https://docs.google.com/spreadsheets/d/1SX6NBoVAgQJ6U1MVXOaj8PK2l7WJ3RER9xtqwdhxkhw/edit?usp=sharing"",""ลพบุรี!M497"")"),0)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IFERROR(__xludf.DUMMYFUNCTION("IMPORTRANGE(""https://docs.google.com/spreadsheets/d/1SX6NBoVAgQJ6U1MVXOaj8PK2l7WJ3RER9xtqwdhxkhw/edit?usp=sharing"",""ลพบุรี!M498"")"),0)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IFERROR(__xludf.DUMMYFUNCTION("IMPORTRANGE(""https://docs.google.com/spreadsheets/d/1SX6NBoVAgQJ6U1MVXOaj8PK2l7WJ3RER9xtqwdhxkhw/edit?usp=sharing"",""ลพบุรี!J502"")"),0)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IFERROR(__xludf.DUMMYFUNCTION("IMPORTRANGE(""https://docs.google.com/spreadsheets/d/1SX6NBoVAgQJ6U1MVXOaj8PK2l7WJ3RER9xtqwdhxkhw/edit?usp=sharing"",""ลพบุรี!J503"")"),1)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IFERROR(__xludf.DUMMYFUNCTION("IMPORTRANGE(""https://docs.google.com/spreadsheets/d/1SX6NBoVAgQJ6U1MVXOaj8PK2l7WJ3RER9xtqwdhxkhw/edit?usp=sharing"",""ลพบุรี!I506"")"),100)</f>
        <v>100</v>
      </c>
      <c r="J611" s="164">
        <f ca="1">IFERROR(__xludf.DUMMYFUNCTION("IMPORTRANGE(""https://docs.google.com/spreadsheets/d/1SX6NBoVAgQJ6U1MVXOaj8PK2l7WJ3RER9xtqwdhxkhw/edit?usp=sharing"",""ลพบุรี!J506"")"),0)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IFERROR(__xludf.DUMMYFUNCTION("IMPORTRANGE(""https://docs.google.com/spreadsheets/d/1SX6NBoVAgQJ6U1MVXOaj8PK2l7WJ3RER9xtqwdhxkhw/edit?usp=sharing"",""ลพบุรี!I507"")"),0)</f>
        <v>0</v>
      </c>
      <c r="J612" s="199">
        <f ca="1">IFERROR(__xludf.DUMMYFUNCTION("IMPORTRANGE(""https://docs.google.com/spreadsheets/d/1SX6NBoVAgQJ6U1MVXOaj8PK2l7WJ3RER9xtqwdhxkhw/edit?usp=sharing"",""ลพบุรี!J507"")"),0)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IFERROR(__xludf.DUMMYFUNCTION("IMPORTRANGE(""https://docs.google.com/spreadsheets/d/1SX6NBoVAgQJ6U1MVXOaj8PK2l7WJ3RER9xtqwdhxkhw/edit?usp=sharing"",""ลพบุรี!I508"")"),0)</f>
        <v>0</v>
      </c>
      <c r="J613" s="199">
        <f ca="1">IFERROR(__xludf.DUMMYFUNCTION("IMPORTRANGE(""https://docs.google.com/spreadsheets/d/1SX6NBoVAgQJ6U1MVXOaj8PK2l7WJ3RER9xtqwdhxkhw/edit?usp=sharing"",""ลพบุรี!J508"")"),0)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IFERROR(__xludf.DUMMYFUNCTION("IMPORTRANGE(""https://docs.google.com/spreadsheets/d/1SX6NBoVAgQJ6U1MVXOaj8PK2l7WJ3RER9xtqwdhxkhw/edit?usp=sharing"",""ลพบุรี!I509"")"),0)</f>
        <v>0</v>
      </c>
      <c r="J614" s="199">
        <f ca="1">IFERROR(__xludf.DUMMYFUNCTION("IMPORTRANGE(""https://docs.google.com/spreadsheets/d/1SX6NBoVAgQJ6U1MVXOaj8PK2l7WJ3RER9xtqwdhxkhw/edit?usp=sharing"",""ลพบุรี!J509"")"),0)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IFERROR(__xludf.DUMMYFUNCTION("IMPORTRANGE(""https://docs.google.com/spreadsheets/d/1SX6NBoVAgQJ6U1MVXOaj8PK2l7WJ3RER9xtqwdhxkhw/edit?usp=sharing"",""ลพบุรี!I510"")"),0)</f>
        <v>0</v>
      </c>
      <c r="J615" s="199">
        <f ca="1">IFERROR(__xludf.DUMMYFUNCTION("IMPORTRANGE(""https://docs.google.com/spreadsheets/d/1SX6NBoVAgQJ6U1MVXOaj8PK2l7WJ3RER9xtqwdhxkhw/edit?usp=sharing"",""ลพบุรี!J510"")"),0)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IFERROR(__xludf.DUMMYFUNCTION("IMPORTRANGE(""https://docs.google.com/spreadsheets/d/1SX6NBoVAgQJ6U1MVXOaj8PK2l7WJ3RER9xtqwdhxkhw/edit?usp=sharing"",""ลพบุรี!I511"")"),0)</f>
        <v>0</v>
      </c>
      <c r="J616" s="199">
        <f ca="1">IFERROR(__xludf.DUMMYFUNCTION("IMPORTRANGE(""https://docs.google.com/spreadsheets/d/1SX6NBoVAgQJ6U1MVXOaj8PK2l7WJ3RER9xtqwdhxkhw/edit?usp=sharing"",""ลพบุรี!J511"")"),0)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IFERROR(__xludf.DUMMYFUNCTION("IMPORTRANGE(""https://docs.google.com/spreadsheets/d/1SX6NBoVAgQJ6U1MVXOaj8PK2l7WJ3RER9xtqwdhxkhw/edit?usp=sharing"",""ลพบุรี!I512"")"),0)</f>
        <v>0</v>
      </c>
      <c r="J617" s="189">
        <f ca="1">IFERROR(__xludf.DUMMYFUNCTION("IMPORTRANGE(""https://docs.google.com/spreadsheets/d/1SX6NBoVAgQJ6U1MVXOaj8PK2l7WJ3RER9xtqwdhxkhw/edit?usp=sharing"",""ลพบุรี!J512"")"),0)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IFERROR(__xludf.DUMMYFUNCTION("IMPORTRANGE(""https://docs.google.com/spreadsheets/d/1SX6NBoVAgQJ6U1MVXOaj8PK2l7WJ3RER9xtqwdhxkhw/edit?usp=sharing"",""ลพบุรี!I513"")"),0)</f>
        <v>0</v>
      </c>
      <c r="J618" s="190">
        <f ca="1">IFERROR(__xludf.DUMMYFUNCTION("IMPORTRANGE(""https://docs.google.com/spreadsheets/d/1SX6NBoVAgQJ6U1MVXOaj8PK2l7WJ3RER9xtqwdhxkhw/edit?usp=sharing"",""ลพบุรี!J513"")"),0)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IFERROR(__xludf.DUMMYFUNCTION("IMPORTRANGE(""https://docs.google.com/spreadsheets/d/1SX6NBoVAgQJ6U1MVXOaj8PK2l7WJ3RER9xtqwdhxkhw/edit?usp=sharing"",""ลพบุรี!I514"")"),0)</f>
        <v>0</v>
      </c>
      <c r="J619" s="190">
        <f ca="1">IFERROR(__xludf.DUMMYFUNCTION("IMPORTRANGE(""https://docs.google.com/spreadsheets/d/1SX6NBoVAgQJ6U1MVXOaj8PK2l7WJ3RER9xtqwdhxkhw/edit?usp=sharing"",""ลพบุรี!J514"")"),0)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IFERROR(__xludf.DUMMYFUNCTION("IMPORTRANGE(""https://docs.google.com/spreadsheets/d/1SX6NBoVAgQJ6U1MVXOaj8PK2l7WJ3RER9xtqwdhxkhw/edit?usp=sharing"",""ลพบุรี!I515"")"),760)</f>
        <v>760</v>
      </c>
      <c r="J620" s="204">
        <f ca="1">IFERROR(__xludf.DUMMYFUNCTION("IMPORTRANGE(""https://docs.google.com/spreadsheets/d/1SX6NBoVAgQJ6U1MVXOaj8PK2l7WJ3RER9xtqwdhxkhw/edit?usp=sharing"",""ลพบุรี!J515"")"),0)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IFERROR(__xludf.DUMMYFUNCTION("IMPORTRANGE(""https://docs.google.com/spreadsheets/d/1SX6NBoVAgQJ6U1MVXOaj8PK2l7WJ3RER9xtqwdhxkhw/edit?usp=sharing"",""ลพบุรี!I516"")"),0)</f>
        <v>0</v>
      </c>
      <c r="J621" s="204">
        <f ca="1">IFERROR(__xludf.DUMMYFUNCTION("IMPORTRANGE(""https://docs.google.com/spreadsheets/d/1SX6NBoVAgQJ6U1MVXOaj8PK2l7WJ3RER9xtqwdhxkhw/edit?usp=sharing"",""ลพบุรี!J516"")"),0)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IFERROR(__xludf.DUMMYFUNCTION("IMPORTRANGE(""https://docs.google.com/spreadsheets/d/1SX6NBoVAgQJ6U1MVXOaj8PK2l7WJ3RER9xtqwdhxkhw/edit?usp=sharing"",""ลพบุรี!I517"")"),0)</f>
        <v>0</v>
      </c>
      <c r="J622" s="190">
        <f ca="1">IFERROR(__xludf.DUMMYFUNCTION("IMPORTRANGE(""https://docs.google.com/spreadsheets/d/1SX6NBoVAgQJ6U1MVXOaj8PK2l7WJ3RER9xtqwdhxkhw/edit?usp=sharing"",""ลพบุรี!J517"")"),0)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IFERROR(__xludf.DUMMYFUNCTION("IMPORTRANGE(""https://docs.google.com/spreadsheets/d/1SX6NBoVAgQJ6U1MVXOaj8PK2l7WJ3RER9xtqwdhxkhw/edit?usp=sharing"",""ลพบุรี!I518"")"),0)</f>
        <v>0</v>
      </c>
      <c r="J623" s="190">
        <f ca="1">IFERROR(__xludf.DUMMYFUNCTION("IMPORTRANGE(""https://docs.google.com/spreadsheets/d/1SX6NBoVAgQJ6U1MVXOaj8PK2l7WJ3RER9xtqwdhxkhw/edit?usp=sharing"",""ลพบุรี!J518"")"),0)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IFERROR(__xludf.DUMMYFUNCTION("IMPORTRANGE(""https://docs.google.com/spreadsheets/d/1SX6NBoVAgQJ6U1MVXOaj8PK2l7WJ3RER9xtqwdhxkhw/edit?usp=sharing"",""ลพบุรี!I519"")"),0)</f>
        <v>0</v>
      </c>
      <c r="J624" s="189">
        <f ca="1">IFERROR(__xludf.DUMMYFUNCTION("IMPORTRANGE(""https://docs.google.com/spreadsheets/d/1SX6NBoVAgQJ6U1MVXOaj8PK2l7WJ3RER9xtqwdhxkhw/edit?usp=sharing"",""ลพบุรี!J519"")"),0)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IFERROR(__xludf.DUMMYFUNCTION("IMPORTRANGE(""https://docs.google.com/spreadsheets/d/1SX6NBoVAgQJ6U1MVXOaj8PK2l7WJ3RER9xtqwdhxkhw/edit?usp=sharing"",""ลพบุรี!I520"")"),0)</f>
        <v>0</v>
      </c>
      <c r="J625" s="190">
        <f ca="1">IFERROR(__xludf.DUMMYFUNCTION("IMPORTRANGE(""https://docs.google.com/spreadsheets/d/1SX6NBoVAgQJ6U1MVXOaj8PK2l7WJ3RER9xtqwdhxkhw/edit?usp=sharing"",""ลพบุรี!J520"")"),0)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IFERROR(__xludf.DUMMYFUNCTION("IMPORTRANGE(""https://docs.google.com/spreadsheets/d/1SX6NBoVAgQJ6U1MVXOaj8PK2l7WJ3RER9xtqwdhxkhw/edit?usp=sharing"",""ลพบุรี!I521"")"),0)</f>
        <v>0</v>
      </c>
      <c r="J626" s="190">
        <f ca="1">IFERROR(__xludf.DUMMYFUNCTION("IMPORTRANGE(""https://docs.google.com/spreadsheets/d/1SX6NBoVAgQJ6U1MVXOaj8PK2l7WJ3RER9xtqwdhxkhw/edit?usp=sharing"",""ลพบุรี!J521"")"),0)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1">
        <f ca="1">IFERROR(__xludf.DUMMYFUNCTION("IMPORTRANGE(""https://docs.google.com/spreadsheets/d/1SX6NBoVAgQJ6U1MVXOaj8PK2l7WJ3RER9xtqwdhxkhw/edit?usp=sharing"",""ลพบุรี!J523"")"),2460149.33)</f>
        <v>2460149.33</v>
      </c>
      <c r="K628" s="342">
        <f t="shared" ref="K628:K635" ca="1" si="129">IF(I628&gt;0,J628*100/I628,0)</f>
        <v>22.487676367909781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IFERROR(__xludf.DUMMYFUNCTION("IMPORTRANGE(""https://docs.google.com/spreadsheets/d/1SX6NBoVAgQJ6U1MVXOaj8PK2l7WJ3RER9xtqwdhxkhw/edit?usp=sharing"",""ลพบุรี!I524"")"),387)</f>
        <v>387</v>
      </c>
      <c r="J629" s="341">
        <f ca="1">IFERROR(__xludf.DUMMYFUNCTION("IMPORTRANGE(""https://docs.google.com/spreadsheets/d/1SX6NBoVAgQJ6U1MVXOaj8PK2l7WJ3RER9xtqwdhxkhw/edit?usp=sharing"",""ลพบุรี!J524"")"),92)</f>
        <v>92</v>
      </c>
      <c r="K629" s="342">
        <f t="shared" ca="1" si="129"/>
        <v>23.772609819121445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1">
        <f ca="1">IFERROR(__xludf.DUMMYFUNCTION("IMPORTRANGE(""https://docs.google.com/spreadsheets/d/1SX6NBoVAgQJ6U1MVXOaj8PK2l7WJ3RER9xtqwdhxkhw/edit?usp=sharing"",""ลพบุรี!J525"")"),276654.9)</f>
        <v>276654.90000000002</v>
      </c>
      <c r="K630" s="342">
        <f t="shared" ca="1" si="129"/>
        <v>4.1945716030263895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IFERROR(__xludf.DUMMYFUNCTION("IMPORTRANGE(""https://docs.google.com/spreadsheets/d/1SX6NBoVAgQJ6U1MVXOaj8PK2l7WJ3RER9xtqwdhxkhw/edit?usp=sharing"",""ลพบุรี!I526"")"),307)</f>
        <v>307</v>
      </c>
      <c r="J631" s="341">
        <f ca="1">IFERROR(__xludf.DUMMYFUNCTION("IMPORTRANGE(""https://docs.google.com/spreadsheets/d/1SX6NBoVAgQJ6U1MVXOaj8PK2l7WJ3RER9xtqwdhxkhw/edit?usp=sharing"",""ลพบุรี!J526"")"),26)</f>
        <v>26</v>
      </c>
      <c r="K631" s="342">
        <f t="shared" ca="1" si="129"/>
        <v>8.4690553745928341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IFERROR(__xludf.DUMMYFUNCTION("IMPORTRANGE(""https://docs.google.com/spreadsheets/d/1SX6NBoVAgQJ6U1MVXOaj8PK2l7WJ3RER9xtqwdhxkhw/edit?usp=sharing"",""ลพบุรี!I527"")"),10071385.83)</f>
        <v>10071385.83</v>
      </c>
      <c r="J632" s="341">
        <f ca="1">IFERROR(__xludf.DUMMYFUNCTION("IMPORTRANGE(""https://docs.google.com/spreadsheets/d/1SX6NBoVAgQJ6U1MVXOaj8PK2l7WJ3RER9xtqwdhxkhw/edit?usp=sharing"",""ลพบุรี!J527"")"),917550.73)</f>
        <v>917550.73</v>
      </c>
      <c r="K632" s="342">
        <f t="shared" ca="1" si="129"/>
        <v>9.1104714434319316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IFERROR(__xludf.DUMMYFUNCTION("IMPORTRANGE(""https://docs.google.com/spreadsheets/d/1SX6NBoVAgQJ6U1MVXOaj8PK2l7WJ3RER9xtqwdhxkhw/edit?usp=sharing"",""ลพบุรี!I528"")"),1083)</f>
        <v>1083</v>
      </c>
      <c r="J633" s="341">
        <f ca="1">IFERROR(__xludf.DUMMYFUNCTION("IMPORTRANGE(""https://docs.google.com/spreadsheets/d/1SX6NBoVAgQJ6U1MVXOaj8PK2l7WJ3RER9xtqwdhxkhw/edit?usp=sharing"",""ลพบุรี!J528"")"),182)</f>
        <v>182</v>
      </c>
      <c r="K633" s="342">
        <f t="shared" ca="1" si="129"/>
        <v>16.805170821791322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IFERROR(__xludf.DUMMYFUNCTION("IMPORTRANGE(""https://docs.google.com/spreadsheets/d/1SX6NBoVAgQJ6U1MVXOaj8PK2l7WJ3RER9xtqwdhxkhw/edit?usp=sharing"",""ลพบุรี!I529"")"),10000000)</f>
        <v>10000000</v>
      </c>
      <c r="J634" s="341">
        <f ca="1">IFERROR(__xludf.DUMMYFUNCTION("IMPORTRANGE(""https://docs.google.com/spreadsheets/d/1SX6NBoVAgQJ6U1MVXOaj8PK2l7WJ3RER9xtqwdhxkhw/edit?usp=sharing"",""ลพบุรี!J529"")"),1415000)</f>
        <v>1415000</v>
      </c>
      <c r="K634" s="342">
        <f t="shared" ca="1" si="129"/>
        <v>14.15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IFERROR(__xludf.DUMMYFUNCTION("IMPORTRANGE(""https://docs.google.com/spreadsheets/d/1SX6NBoVAgQJ6U1MVXOaj8PK2l7WJ3RER9xtqwdhxkhw/edit?usp=sharing"",""ลพบุรี!I530"")"),333)</f>
        <v>333</v>
      </c>
      <c r="J635" s="504">
        <f ca="1">IFERROR(__xludf.DUMMYFUNCTION("IMPORTRANGE(""https://docs.google.com/spreadsheets/d/1SX6NBoVAgQJ6U1MVXOaj8PK2l7WJ3RER9xtqwdhxkhw/edit?usp=sharing"",""ลพบุรี!J530"")"),51)</f>
        <v>51</v>
      </c>
      <c r="K635" s="486">
        <f t="shared" ca="1" si="129"/>
        <v>15.315315315315315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4257812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270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7672753</v>
      </c>
      <c r="M8" s="23">
        <f t="shared" ca="1" si="0"/>
        <v>2773783</v>
      </c>
      <c r="N8" s="23">
        <f t="shared" ca="1" si="0"/>
        <v>2650287.0700000003</v>
      </c>
      <c r="O8" s="22">
        <f t="shared" ref="O8:O16" ca="1" si="1">IF(L8&gt;0,N8*100/L8,0)</f>
        <v>34.54154030502481</v>
      </c>
      <c r="P8" s="22">
        <f t="shared" ref="P8:P16" ca="1" si="2">IF(M8&gt;0,N8*100/M8,0)</f>
        <v>95.547743641085134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7672753</v>
      </c>
      <c r="M10" s="30">
        <f t="shared" ca="1" si="4"/>
        <v>2773783</v>
      </c>
      <c r="N10" s="30">
        <f t="shared" ca="1" si="4"/>
        <v>2650287.0700000003</v>
      </c>
      <c r="O10" s="29">
        <f t="shared" ca="1" si="1"/>
        <v>34.54154030502481</v>
      </c>
      <c r="P10" s="29">
        <f t="shared" ca="1" si="2"/>
        <v>95.547743641085134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7477753</v>
      </c>
      <c r="M12" s="38">
        <f t="shared" ca="1" si="6"/>
        <v>2578783</v>
      </c>
      <c r="N12" s="38">
        <f t="shared" ca="1" si="6"/>
        <v>2455287.0700000003</v>
      </c>
      <c r="O12" s="38">
        <f t="shared" ca="1" si="1"/>
        <v>32.834556985233405</v>
      </c>
      <c r="P12" s="38">
        <f t="shared" ca="1" si="2"/>
        <v>95.21107708558651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5553353</v>
      </c>
      <c r="M14" s="38">
        <f t="shared" si="8"/>
        <v>0</v>
      </c>
      <c r="N14" s="38">
        <f t="shared" ca="1" si="8"/>
        <v>729959.07000000007</v>
      </c>
      <c r="O14" s="38">
        <f t="shared" ca="1" si="1"/>
        <v>13.144474518367552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4704275</v>
      </c>
      <c r="M18" s="23">
        <f t="shared" ca="1" si="11"/>
        <v>2773783</v>
      </c>
      <c r="N18" s="23">
        <f t="shared" ca="1" si="11"/>
        <v>1920328</v>
      </c>
      <c r="O18" s="22">
        <f t="shared" ref="O18:O20" ca="1" si="12">IF(L18&gt;0,N18*100/L18,0)</f>
        <v>40.820912893060033</v>
      </c>
      <c r="P18" s="22">
        <f t="shared" ref="P18:P26" ca="1" si="13">IF(M18&gt;0,N18*100/M18,0)</f>
        <v>69.231371019290265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4704275</v>
      </c>
      <c r="M20" s="30">
        <f t="shared" ca="1" si="15"/>
        <v>2773783</v>
      </c>
      <c r="N20" s="30">
        <f t="shared" ca="1" si="15"/>
        <v>1920328</v>
      </c>
      <c r="O20" s="29">
        <f t="shared" ca="1" si="12"/>
        <v>40.820912893060033</v>
      </c>
      <c r="P20" s="29">
        <f t="shared" ca="1" si="13"/>
        <v>69.231371019290265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4509275</v>
      </c>
      <c r="M22" s="41">
        <f t="shared" ca="1" si="18"/>
        <v>2578783</v>
      </c>
      <c r="N22" s="38">
        <f t="shared" ca="1" si="18"/>
        <v>1725328</v>
      </c>
      <c r="O22" s="38">
        <f t="shared" ca="1" si="17"/>
        <v>38.261760482560945</v>
      </c>
      <c r="P22" s="38">
        <f t="shared" ca="1" si="13"/>
        <v>66.904737622359079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2584875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2968478</v>
      </c>
      <c r="M28" s="23">
        <f t="shared" si="23"/>
        <v>0</v>
      </c>
      <c r="N28" s="23">
        <f t="shared" ca="1" si="23"/>
        <v>729959.07000000007</v>
      </c>
      <c r="O28" s="22">
        <f t="shared" ref="O28:O30" ca="1" si="24">IF(L28&gt;0,N28*100/L28,0)</f>
        <v>24.590347983040466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2968478</v>
      </c>
      <c r="M30" s="30">
        <f t="shared" si="27"/>
        <v>0</v>
      </c>
      <c r="N30" s="30">
        <f t="shared" ca="1" si="27"/>
        <v>729959.07000000007</v>
      </c>
      <c r="O30" s="29">
        <f t="shared" ca="1" si="24"/>
        <v>24.590347983040466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2968478</v>
      </c>
      <c r="M32" s="38">
        <f t="shared" si="30"/>
        <v>0</v>
      </c>
      <c r="N32" s="38">
        <f t="shared" ca="1" si="30"/>
        <v>729959.07000000007</v>
      </c>
      <c r="O32" s="38">
        <f t="shared" ca="1" si="29"/>
        <v>24.590347983040466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2968478</v>
      </c>
      <c r="M34" s="38">
        <f t="shared" si="32"/>
        <v>0</v>
      </c>
      <c r="N34" s="38">
        <f t="shared" ca="1" si="32"/>
        <v>729959.07000000007</v>
      </c>
      <c r="O34" s="38">
        <f t="shared" ca="1" si="29"/>
        <v>24.590347983040466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4704275</v>
      </c>
      <c r="M37" s="54">
        <f t="shared" ca="1" si="33"/>
        <v>2773783</v>
      </c>
      <c r="N37" s="54">
        <f t="shared" ca="1" si="33"/>
        <v>1920328</v>
      </c>
      <c r="O37" s="55">
        <f t="shared" ca="1" si="29"/>
        <v>40.820912893060033</v>
      </c>
      <c r="P37" s="55">
        <f t="shared" ca="1" si="25"/>
        <v>69.231371019290265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453500</v>
      </c>
      <c r="N41" s="78">
        <f t="shared" ca="1" si="34"/>
        <v>384058</v>
      </c>
      <c r="O41" s="77">
        <f t="shared" ref="O41:O43" ca="1" si="35">IF(L41&gt;0,N41*100/L41,0)</f>
        <v>42.34843973977285</v>
      </c>
      <c r="P41" s="77">
        <f t="shared" ref="P41:P43" ca="1" si="36">IF(M41&gt;0,N41*100/M41,0)</f>
        <v>84.68754134509372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453500</v>
      </c>
      <c r="N43" s="78">
        <f t="shared" ca="1" si="38"/>
        <v>384058</v>
      </c>
      <c r="O43" s="77">
        <f t="shared" ca="1" si="35"/>
        <v>42.34843973977285</v>
      </c>
      <c r="P43" s="77">
        <f t="shared" ca="1" si="36"/>
        <v>84.68754134509372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IFERROR(__xludf.DUMMYFUNCTION("IMPORTRANGE(""https://docs.google.com/spreadsheets/d/1Yj_ptqi66GCucihVvJfMjLAmec39IyEx_6qawtMGysU/edit?usp=sharing"",""สบก!Q75"")"),453500)</f>
        <v>453500</v>
      </c>
      <c r="N45" s="49">
        <f ca="1">IFERROR(__xludf.DUMMYFUNCTION("IMPORTRANGE(""https://docs.google.com/spreadsheets/d/1Yj_ptqi66GCucihVvJfMjLAmec39IyEx_6qawtMGysU/edit?usp=sharing"",""สบก!R75"")"),384058)</f>
        <v>384058</v>
      </c>
      <c r="O45" s="38">
        <f ca="1">IF(L45&gt;0,N45*100/L45,0)</f>
        <v>42.34843973977285</v>
      </c>
      <c r="P45" s="38">
        <f ca="1">IF(M45&gt;0,N45*100/M45,0)</f>
        <v>84.68754134509372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218428</v>
      </c>
      <c r="N53" s="121">
        <f t="shared" ca="1" si="39"/>
        <v>209791</v>
      </c>
      <c r="O53" s="120">
        <f t="shared" ref="O53:O55" ca="1" si="40">IF(L53&gt;0,N53*100/L53,0)</f>
        <v>52.447749999999999</v>
      </c>
      <c r="P53" s="120">
        <f t="shared" ref="P53:P55" ca="1" si="41">IF(M53&gt;0,N53*100/M53,0)</f>
        <v>96.045836614353476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218428</v>
      </c>
      <c r="N55" s="121">
        <f t="shared" ca="1" si="43"/>
        <v>209791</v>
      </c>
      <c r="O55" s="120">
        <f t="shared" ca="1" si="40"/>
        <v>52.447749999999999</v>
      </c>
      <c r="P55" s="120">
        <f t="shared" ca="1" si="41"/>
        <v>96.045836614353476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IFERROR(__xludf.DUMMYFUNCTION("IMPORTRANGE(""https://docs.google.com/spreadsheets/d/1Yj_ptqi66GCucihVvJfMjLAmec39IyEx_6qawtMGysU/edit?usp=sharing"",""สบก!Z75"")"),218428)</f>
        <v>218428</v>
      </c>
      <c r="N57" s="49">
        <f ca="1">IFERROR(__xludf.DUMMYFUNCTION("IMPORTRANGE(""https://docs.google.com/spreadsheets/d/1Yj_ptqi66GCucihVvJfMjLAmec39IyEx_6qawtMGysU/edit?usp=sharing"",""สบก!AA75"")"),209791)</f>
        <v>209791</v>
      </c>
      <c r="O57" s="38">
        <f ca="1">IF(L57&gt;0,N57*100/L57,0)</f>
        <v>52.447749999999999</v>
      </c>
      <c r="P57" s="38">
        <f ca="1">IF(M57&gt;0,N57*100/M57,0)</f>
        <v>96.045836614353476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474320</v>
      </c>
      <c r="N66" s="152">
        <f t="shared" ca="1" si="45"/>
        <v>225305</v>
      </c>
      <c r="O66" s="151">
        <f t="shared" ref="O66:O68" ca="1" si="46">IF(L66&gt;0,N66*100/L66,0)</f>
        <v>27.227190332326284</v>
      </c>
      <c r="P66" s="151">
        <f t="shared" ref="P66:P68" ca="1" si="47">IF(M66&gt;0,N66*100/M66,0)</f>
        <v>47.500632484398722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474320</v>
      </c>
      <c r="N68" s="157">
        <f t="shared" ca="1" si="49"/>
        <v>225305</v>
      </c>
      <c r="O68" s="156">
        <f t="shared" ca="1" si="46"/>
        <v>27.227190332326284</v>
      </c>
      <c r="P68" s="156">
        <f t="shared" ca="1" si="47"/>
        <v>47.500632484398722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779500</v>
      </c>
      <c r="M70" s="169">
        <f ca="1">IFERROR(__xludf.DUMMYFUNCTION("IMPORTRANGE(""https://docs.google.com/spreadsheets/d/1Yj_ptqi66GCucihVvJfMjLAmec39IyEx_6qawtMGysU/edit?usp=sharing"",""สบก!AI75"")"),426320)</f>
        <v>426320</v>
      </c>
      <c r="N70" s="170">
        <f ca="1">IFERROR(__xludf.DUMMYFUNCTION("IMPORTRANGE(""https://docs.google.com/spreadsheets/d/1Yj_ptqi66GCucihVvJfMjLAmec39IyEx_6qawtMGysU/edit?usp=sharing"",""สบก!AJ75"")"),177305)</f>
        <v>177305</v>
      </c>
      <c r="O70" s="170">
        <f ca="1">IF(L70&gt;0,N70*100/L70,0)</f>
        <v>22.745991019884542</v>
      </c>
      <c r="P70" s="170">
        <f ca="1">IF(M70&gt;0,N70*100/M70,0)</f>
        <v>41.589650966410211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IFERROR(__xludf.DUMMYFUNCTION("IMPORTRANGE(""https://docs.google.com/spreadsheets/d/1Yj_ptqi66GCucihVvJfMjLAmec39IyEx_6qawtMGysU/edit?usp=sharing"",""สบก!AE75"")"),179500)</f>
        <v>179500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IFERROR(__xludf.DUMMYFUNCTION("IMPORTRANGE(""https://docs.google.com/spreadsheets/d/1Yj_ptqi66GCucihVvJfMjLAmec39IyEx_6qawtMGysU/edit?usp=sharing"",""สบก!AF75"")"),600000)</f>
        <v>600000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IFERROR(__xludf.DUMMYFUNCTION("IMPORTRANGE(""https://docs.google.com/spreadsheets/d/1SX6NBoVAgQJ6U1MVXOaj8PK2l7WJ3RER9xtqwdhxkhw/edit?usp=sharing"",""สระแก้ว!J16"")"),1)</f>
        <v>1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IFERROR(__xludf.DUMMYFUNCTION("IMPORTRANGE(""https://docs.google.com/spreadsheets/d/1SX6NBoVAgQJ6U1MVXOaj8PK2l7WJ3RER9xtqwdhxkhw/edit?usp=sharing"",""สระแก้ว!J17"")"),0)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IFERROR(__xludf.DUMMYFUNCTION("IMPORTRANGE(""https://docs.google.com/spreadsheets/d/1SX6NBoVAgQJ6U1MVXOaj8PK2l7WJ3RER9xtqwdhxkhw/edit?usp=sharing"",""สระแก้ว!J18"")"),0)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IFERROR(__xludf.DUMMYFUNCTION("IMPORTRANGE(""https://docs.google.com/spreadsheets/d/1SX6NBoVAgQJ6U1MVXOaj8PK2l7WJ3RER9xtqwdhxkhw/edit?usp=sharing"",""สระแก้ว!J19"")"),0)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IFERROR(__xludf.DUMMYFUNCTION("IMPORTRANGE(""https://docs.google.com/spreadsheets/d/1SX6NBoVAgQJ6U1MVXOaj8PK2l7WJ3RER9xtqwdhxkhw/edit?usp=sharing"",""สระแก้ว!I20"")"),1)</f>
        <v>1</v>
      </c>
      <c r="J80" s="202">
        <f ca="1">IFERROR(__xludf.DUMMYFUNCTION("IMPORTRANGE(""https://docs.google.com/spreadsheets/d/1SX6NBoVAgQJ6U1MVXOaj8PK2l7WJ3RER9xtqwdhxkhw/edit?usp=sharing"",""สระแก้ว!J20"")"),0)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IFERROR(__xludf.DUMMYFUNCTION("IMPORTRANGE(""https://docs.google.com/spreadsheets/d/1SX6NBoVAgQJ6U1MVXOaj8PK2l7WJ3RER9xtqwdhxkhw/edit?usp=sharing"",""สระแก้ว!I21"")"),70)</f>
        <v>70</v>
      </c>
      <c r="J81" s="202">
        <f ca="1">IFERROR(__xludf.DUMMYFUNCTION("IMPORTRANGE(""https://docs.google.com/spreadsheets/d/1SX6NBoVAgQJ6U1MVXOaj8PK2l7WJ3RER9xtqwdhxkhw/edit?usp=sharing"",""สระแก้ว!J21"")"),0)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IFERROR(__xludf.DUMMYFUNCTION("IMPORTRANGE(""https://docs.google.com/spreadsheets/d/1SX6NBoVAgQJ6U1MVXOaj8PK2l7WJ3RER9xtqwdhxkhw/edit?usp=sharing"",""สระแก้ว!I22"")"),1)</f>
        <v>1</v>
      </c>
      <c r="J82" s="205">
        <f ca="1">IFERROR(__xludf.DUMMYFUNCTION("IMPORTRANGE(""https://docs.google.com/spreadsheets/d/1SX6NBoVAgQJ6U1MVXOaj8PK2l7WJ3RER9xtqwdhxkhw/edit?usp=sharing"",""สระแก้ว!J22"")"),0)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IFERROR(__xludf.DUMMYFUNCTION("IMPORTRANGE(""https://docs.google.com/spreadsheets/d/1SX6NBoVAgQJ6U1MVXOaj8PK2l7WJ3RER9xtqwdhxkhw/edit?usp=sharing"",""สระแก้ว!I23"")"),70)</f>
        <v>70</v>
      </c>
      <c r="J83" s="205">
        <f ca="1">IFERROR(__xludf.DUMMYFUNCTION("IMPORTRANGE(""https://docs.google.com/spreadsheets/d/1SX6NBoVAgQJ6U1MVXOaj8PK2l7WJ3RER9xtqwdhxkhw/edit?usp=sharing"",""สระแก้ว!J23"")"),0)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IFERROR(__xludf.DUMMYFUNCTION("IMPORTRANGE(""https://docs.google.com/spreadsheets/d/1SX6NBoVAgQJ6U1MVXOaj8PK2l7WJ3RER9xtqwdhxkhw/edit?usp=sharing"",""สระแก้ว!I24"")"),0)</f>
        <v>0</v>
      </c>
      <c r="J84" s="190">
        <f ca="1">IFERROR(__xludf.DUMMYFUNCTION("IMPORTRANGE(""https://docs.google.com/spreadsheets/d/1SX6NBoVAgQJ6U1MVXOaj8PK2l7WJ3RER9xtqwdhxkhw/edit?usp=sharing"",""สระแก้ว!J24"")"),0)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IFERROR(__xludf.DUMMYFUNCTION("IMPORTRANGE(""https://docs.google.com/spreadsheets/d/1SX6NBoVAgQJ6U1MVXOaj8PK2l7WJ3RER9xtqwdhxkhw/edit?usp=sharing"",""สระแก้ว!I25"")"),0)</f>
        <v>0</v>
      </c>
      <c r="J85" s="190">
        <f ca="1">IFERROR(__xludf.DUMMYFUNCTION("IMPORTRANGE(""https://docs.google.com/spreadsheets/d/1SX6NBoVAgQJ6U1MVXOaj8PK2l7WJ3RER9xtqwdhxkhw/edit?usp=sharing"",""สระแก้ว!J25"")"),0)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IFERROR(__xludf.DUMMYFUNCTION("IMPORTRANGE(""https://docs.google.com/spreadsheets/d/1SX6NBoVAgQJ6U1MVXOaj8PK2l7WJ3RER9xtqwdhxkhw/edit?usp=sharing"",""สระแก้ว!I26"")"),0)</f>
        <v>0</v>
      </c>
      <c r="J86" s="205">
        <f ca="1">IFERROR(__xludf.DUMMYFUNCTION("IMPORTRANGE(""https://docs.google.com/spreadsheets/d/1SX6NBoVAgQJ6U1MVXOaj8PK2l7WJ3RER9xtqwdhxkhw/edit?usp=sharing"",""สระแก้ว!J26"")"),0)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IFERROR(__xludf.DUMMYFUNCTION("IMPORTRANGE(""https://docs.google.com/spreadsheets/d/1SX6NBoVAgQJ6U1MVXOaj8PK2l7WJ3RER9xtqwdhxkhw/edit?usp=sharing"",""สระแก้ว!I27"")"),0)</f>
        <v>0</v>
      </c>
      <c r="J87" s="205">
        <f ca="1">IFERROR(__xludf.DUMMYFUNCTION("IMPORTRANGE(""https://docs.google.com/spreadsheets/d/1SX6NBoVAgQJ6U1MVXOaj8PK2l7WJ3RER9xtqwdhxkhw/edit?usp=sharing"",""สระแก้ว!J27"")"),0)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IFERROR(__xludf.DUMMYFUNCTION("IMPORTRANGE(""https://docs.google.com/spreadsheets/d/1SX6NBoVAgQJ6U1MVXOaj8PK2l7WJ3RER9xtqwdhxkhw/edit?usp=sharing"",""สระแก้ว!I28"")"),70)</f>
        <v>70</v>
      </c>
      <c r="J88" s="205">
        <f ca="1">IFERROR(__xludf.DUMMYFUNCTION("IMPORTRANGE(""https://docs.google.com/spreadsheets/d/1SX6NBoVAgQJ6U1MVXOaj8PK2l7WJ3RER9xtqwdhxkhw/edit?usp=sharing"",""สระแก้ว!J28"")"),0)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IFERROR(__xludf.DUMMYFUNCTION("IMPORTRANGE(""https://docs.google.com/spreadsheets/d/1SX6NBoVAgQJ6U1MVXOaj8PK2l7WJ3RER9xtqwdhxkhw/edit?usp=sharing"",""สระแก้ว!J29"")"),0)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IFERROR(__xludf.DUMMYFUNCTION("IMPORTRANGE(""https://docs.google.com/spreadsheets/d/1SX6NBoVAgQJ6U1MVXOaj8PK2l7WJ3RER9xtqwdhxkhw/edit?usp=sharing"",""สระแก้ว!J30"")"),0)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IFERROR(__xludf.DUMMYFUNCTION("IMPORTRANGE(""https://docs.google.com/spreadsheets/d/1Yj_ptqi66GCucihVvJfMjLAmec39IyEx_6qawtMGysU/edit?usp=sharing"",""สบก!AR75"")"),0)</f>
        <v>0</v>
      </c>
      <c r="N98" s="170">
        <f ca="1">IFERROR(__xludf.DUMMYFUNCTION("IMPORTRANGE(""https://docs.google.com/spreadsheets/d/1Yj_ptqi66GCucihVvJfMjLAmec39IyEx_6qawtMGysU/edit?usp=sharing"",""สบก!AS75"")"),0)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IFERROR(__xludf.DUMMYFUNCTION("IMPORTRANGE(""https://docs.google.com/spreadsheets/d/1Yj_ptqi66GCucihVvJfMjLAmec39IyEx_6qawtMGysU/edit?usp=sharing"",""สบก!AN75"")"),0)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IFERROR(__xludf.DUMMYFUNCTION("IMPORTRANGE(""https://docs.google.com/spreadsheets/d/1Yj_ptqi66GCucihVvJfMjLAmec39IyEx_6qawtMGysU/edit?usp=sharing"",""สบก!AO75"")"),0)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IFERROR(__xludf.DUMMYFUNCTION("IMPORTRANGE(""https://docs.google.com/spreadsheets/d/1SX6NBoVAgQJ6U1MVXOaj8PK2l7WJ3RER9xtqwdhxkhw/edit?usp=sharing"",""สระแก้ว!I43"")"),0)</f>
        <v>0</v>
      </c>
      <c r="J108" s="205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IFERROR(__xludf.DUMMYFUNCTION("IMPORTRANGE(""https://docs.google.com/spreadsheets/d/1SX6NBoVAgQJ6U1MVXOaj8PK2l7WJ3RER9xtqwdhxkhw/edit?usp=sharing"",""สระแก้ว!I44"")"),0)</f>
        <v>0</v>
      </c>
      <c r="J109" s="205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IFERROR(__xludf.DUMMYFUNCTION("IMPORTRANGE(""https://docs.google.com/spreadsheets/d/1SX6NBoVAgQJ6U1MVXOaj8PK2l7WJ3RER9xtqwdhxkhw/edit?usp=sharing"",""สระแก้ว!I45"")"),0)</f>
        <v>0</v>
      </c>
      <c r="J110" s="205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IFERROR(__xludf.DUMMYFUNCTION("IMPORTRANGE(""https://docs.google.com/spreadsheets/d/1SX6NBoVAgQJ6U1MVXOaj8PK2l7WJ3RER9xtqwdhxkhw/edit?usp=sharing"",""สระแก้ว!I46"")"),0)</f>
        <v>0</v>
      </c>
      <c r="J111" s="205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IFERROR(__xludf.DUMMYFUNCTION("IMPORTRANGE(""https://docs.google.com/spreadsheets/d/1SX6NBoVAgQJ6U1MVXOaj8PK2l7WJ3RER9xtqwdhxkhw/edit?usp=sharing"",""สระแก้ว!I47"")"),0)</f>
        <v>0</v>
      </c>
      <c r="J112" s="205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IFERROR(__xludf.DUMMYFUNCTION("IMPORTRANGE(""https://docs.google.com/spreadsheets/d/1SX6NBoVAgQJ6U1MVXOaj8PK2l7WJ3RER9xtqwdhxkhw/edit?usp=sharing"",""สระแก้ว!I48"")"),0)</f>
        <v>0</v>
      </c>
      <c r="J113" s="205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IFERROR(__xludf.DUMMYFUNCTION("IMPORTRANGE(""https://docs.google.com/spreadsheets/d/1Yj_ptqi66GCucihVvJfMjLAmec39IyEx_6qawtMGysU/edit?usp=sharing"",""สบก!BA75"")"),0)</f>
        <v>0</v>
      </c>
      <c r="N122" s="170">
        <f ca="1">IFERROR(__xludf.DUMMYFUNCTION("IMPORTRANGE(""https://docs.google.com/spreadsheets/d/1Yj_ptqi66GCucihVvJfMjLAmec39IyEx_6qawtMGysU/edit?usp=sharing"",""สบก!BB75"")"),0)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IFERROR(__xludf.DUMMYFUNCTION("IMPORTRANGE(""https://docs.google.com/spreadsheets/d/1Yj_ptqi66GCucihVvJfMjLAmec39IyEx_6qawtMGysU/edit?usp=sharing"",""สบก!AW75"")"),0)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IFERROR(__xludf.DUMMYFUNCTION("IMPORTRANGE(""https://docs.google.com/spreadsheets/d/1Yj_ptqi66GCucihVvJfMjLAmec39IyEx_6qawtMGysU/edit?usp=sharing"",""สบก!AX75"")"),0)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271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IFERROR(__xludf.DUMMYFUNCTION("IMPORTRANGE(""https://docs.google.com/spreadsheets/d/1SX6NBoVAgQJ6U1MVXOaj8PK2l7WJ3RER9xtqwdhxkhw/edit?usp=sharing"",""สระแก้ว!I62"")"),0)</f>
        <v>0</v>
      </c>
      <c r="J132" s="205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IFERROR(__xludf.DUMMYFUNCTION("IMPORTRANGE(""https://docs.google.com/spreadsheets/d/1SX6NBoVAgQJ6U1MVXOaj8PK2l7WJ3RER9xtqwdhxkhw/edit?usp=sharing"",""สระแก้ว!I63"")"),0)</f>
        <v>0</v>
      </c>
      <c r="J133" s="205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479100</v>
      </c>
      <c r="M140" s="152">
        <f t="shared" ca="1" si="64"/>
        <v>294850</v>
      </c>
      <c r="N140" s="152">
        <f t="shared" ca="1" si="64"/>
        <v>185959</v>
      </c>
      <c r="O140" s="151">
        <f t="shared" ref="O140:O142" ca="1" si="65">IF(L140&gt;0,N140*100/L140,0)</f>
        <v>38.814235024003338</v>
      </c>
      <c r="P140" s="151">
        <f t="shared" ref="P140:P142" ca="1" si="66">IF(M140&gt;0,N140*100/M140,0)</f>
        <v>63.069018144819402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479100</v>
      </c>
      <c r="M142" s="157">
        <f t="shared" ca="1" si="68"/>
        <v>294850</v>
      </c>
      <c r="N142" s="157">
        <f t="shared" ca="1" si="68"/>
        <v>185959</v>
      </c>
      <c r="O142" s="156">
        <f t="shared" ca="1" si="65"/>
        <v>38.814235024003338</v>
      </c>
      <c r="P142" s="156">
        <f t="shared" ca="1" si="66"/>
        <v>63.069018144819402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479100</v>
      </c>
      <c r="M144" s="169">
        <f ca="1">IFERROR(__xludf.DUMMYFUNCTION("IMPORTRANGE(""https://docs.google.com/spreadsheets/d/1Yj_ptqi66GCucihVvJfMjLAmec39IyEx_6qawtMGysU/edit?usp=sharing"",""สบก!BJ75"")"),294850)</f>
        <v>294850</v>
      </c>
      <c r="N144" s="170">
        <f ca="1">IFERROR(__xludf.DUMMYFUNCTION("IMPORTRANGE(""https://docs.google.com/spreadsheets/d/1Yj_ptqi66GCucihVvJfMjLAmec39IyEx_6qawtMGysU/edit?usp=sharing"",""สบก!BK75"")"),185959)</f>
        <v>185959</v>
      </c>
      <c r="O144" s="170">
        <f ca="1">IF(L144&gt;0,N144*100/L144,0)</f>
        <v>38.814235024003338</v>
      </c>
      <c r="P144" s="170">
        <f ca="1">IF(M144&gt;0,N144*100/M144,0)</f>
        <v>63.069018144819402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IFERROR(__xludf.DUMMYFUNCTION("IMPORTRANGE(""https://docs.google.com/spreadsheets/d/1Yj_ptqi66GCucihVvJfMjLAmec39IyEx_6qawtMGysU/edit?usp=sharing"",""สบก!BF75"")"),132000)</f>
        <v>132000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IFERROR(__xludf.DUMMYFUNCTION("IMPORTRANGE(""https://docs.google.com/spreadsheets/d/1Yj_ptqi66GCucihVvJfMjLAmec39IyEx_6qawtMGysU/edit?usp=sharing"",""สบก!BG75"")"),347100)</f>
        <v>347100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IFERROR(__xludf.DUMMYFUNCTION("IMPORTRANGE(""https://docs.google.com/spreadsheets/d/1SX6NBoVAgQJ6U1MVXOaj8PK2l7WJ3RER9xtqwdhxkhw/edit?usp=sharing"",""สระแก้ว!J79"")"),0)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IFERROR(__xludf.DUMMYFUNCTION("IMPORTRANGE(""https://docs.google.com/spreadsheets/d/1SX6NBoVAgQJ6U1MVXOaj8PK2l7WJ3RER9xtqwdhxkhw/edit?usp=sharing"",""สระแก้ว!J80"")"),1)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IFERROR(__xludf.DUMMYFUNCTION("IMPORTRANGE(""https://docs.google.com/spreadsheets/d/1SX6NBoVAgQJ6U1MVXOaj8PK2l7WJ3RER9xtqwdhxkhw/edit?usp=sharing"",""สระแก้ว!J81"")"),0)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IFERROR(__xludf.DUMMYFUNCTION("IMPORTRANGE(""https://docs.google.com/spreadsheets/d/1SX6NBoVAgQJ6U1MVXOaj8PK2l7WJ3RER9xtqwdhxkhw/edit?usp=sharing"",""สระแก้ว!J82"")"),0)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IFERROR(__xludf.DUMMYFUNCTION("IMPORTRANGE(""https://docs.google.com/spreadsheets/d/1SX6NBoVAgQJ6U1MVXOaj8PK2l7WJ3RER9xtqwdhxkhw/edit?usp=sharing"",""สระแก้ว!I83"")"),4)</f>
        <v>4</v>
      </c>
      <c r="J158" s="190">
        <f ca="1">IFERROR(__xludf.DUMMYFUNCTION("IMPORTRANGE(""https://docs.google.com/spreadsheets/d/1SX6NBoVAgQJ6U1MVXOaj8PK2l7WJ3RER9xtqwdhxkhw/edit?usp=sharing"",""สระแก้ว!J83"")"),2)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IFERROR(__xludf.DUMMYFUNCTION("IMPORTRANGE(""https://docs.google.com/spreadsheets/d/1SX6NBoVAgQJ6U1MVXOaj8PK2l7WJ3RER9xtqwdhxkhw/edit?usp=sharing"",""สระแก้ว!J84"")"),0)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IFERROR(__xludf.DUMMYFUNCTION("IMPORTRANGE(""https://docs.google.com/spreadsheets/d/1SX6NBoVAgQJ6U1MVXOaj8PK2l7WJ3RER9xtqwdhxkhw/edit?usp=sharing"",""สระแก้ว!J85"")"),0)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IFERROR(__xludf.DUMMYFUNCTION("IMPORTRANGE(""https://docs.google.com/spreadsheets/d/1SX6NBoVAgQJ6U1MVXOaj8PK2l7WJ3RER9xtqwdhxkhw/edit?usp=sharing"",""สระแก้ว!J86"")"),0)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IFERROR(__xludf.DUMMYFUNCTION("IMPORTRANGE(""https://docs.google.com/spreadsheets/d/1SX6NBoVAgQJ6U1MVXOaj8PK2l7WJ3RER9xtqwdhxkhw/edit?usp=sharing"",""สระแก้ว!J87"")"),0)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IFERROR(__xludf.DUMMYFUNCTION("IMPORTRANGE(""https://docs.google.com/spreadsheets/d/1SX6NBoVAgQJ6U1MVXOaj8PK2l7WJ3RER9xtqwdhxkhw/edit?usp=sharing"",""สระแก้ว!J88"")"),0)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IFERROR(__xludf.DUMMYFUNCTION("IMPORTRANGE(""https://docs.google.com/spreadsheets/d/1SX6NBoVAgQJ6U1MVXOaj8PK2l7WJ3RER9xtqwdhxkhw/edit?usp=sharing"",""สระแก้ว!I89"")"),3)</f>
        <v>3</v>
      </c>
      <c r="J164" s="284">
        <f ca="1">IFERROR(__xludf.DUMMYFUNCTION("IMPORTRANGE(""https://docs.google.com/spreadsheets/d/1SX6NBoVAgQJ6U1MVXOaj8PK2l7WJ3RER9xtqwdhxkhw/edit?usp=sharing"",""สระแก้ว!J89"")"),3)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IFERROR(__xludf.DUMMYFUNCTION("IMPORTRANGE(""https://docs.google.com/spreadsheets/d/1SX6NBoVAgQJ6U1MVXOaj8PK2l7WJ3RER9xtqwdhxkhw/edit?usp=sharing"",""สระแก้ว!J94"")"),0)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IFERROR(__xludf.DUMMYFUNCTION("IMPORTRANGE(""https://docs.google.com/spreadsheets/d/1SX6NBoVAgQJ6U1MVXOaj8PK2l7WJ3RER9xtqwdhxkhw/edit?usp=sharing"",""สระแก้ว!J95"")"),1)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IFERROR(__xludf.DUMMYFUNCTION("IMPORTRANGE(""https://docs.google.com/spreadsheets/d/1SX6NBoVAgQJ6U1MVXOaj8PK2l7WJ3RER9xtqwdhxkhw/edit?usp=sharing"",""สระแก้ว!J96"")"),1)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IFERROR(__xludf.DUMMYFUNCTION("IMPORTRANGE(""https://docs.google.com/spreadsheets/d/1SX6NBoVAgQJ6U1MVXOaj8PK2l7WJ3RER9xtqwdhxkhw/edit?usp=sharing"",""สระแก้ว!J97"")"),1)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IFERROR(__xludf.DUMMYFUNCTION("IMPORTRANGE(""https://docs.google.com/spreadsheets/d/1SX6NBoVAgQJ6U1MVXOaj8PK2l7WJ3RER9xtqwdhxkhw/edit?usp=sharing"",""สระแก้ว!I98"")"),3)</f>
        <v>3</v>
      </c>
      <c r="J173" s="190">
        <f ca="1">IFERROR(__xludf.DUMMYFUNCTION("IMPORTRANGE(""https://docs.google.com/spreadsheets/d/1SX6NBoVAgQJ6U1MVXOaj8PK2l7WJ3RER9xtqwdhxkhw/edit?usp=sharing"",""สระแก้ว!J98"")"),3)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IFERROR(__xludf.DUMMYFUNCTION("IMPORTRANGE(""https://docs.google.com/spreadsheets/d/1SX6NBoVAgQJ6U1MVXOaj8PK2l7WJ3RER9xtqwdhxkhw/edit?usp=sharing"",""สระแก้ว!J99"")"),0)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IFERROR(__xludf.DUMMYFUNCTION("IMPORTRANGE(""https://docs.google.com/spreadsheets/d/1SX6NBoVAgQJ6U1MVXOaj8PK2l7WJ3RER9xtqwdhxkhw/edit?usp=sharing"",""สระแก้ว!J100"")"),0)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IFERROR(__xludf.DUMMYFUNCTION("IMPORTRANGE(""https://docs.google.com/spreadsheets/d/1SX6NBoVAgQJ6U1MVXOaj8PK2l7WJ3RER9xtqwdhxkhw/edit?usp=sharing"",""สระแก้ว!I101"")"),6)</f>
        <v>6</v>
      </c>
      <c r="J176" s="284">
        <f ca="1">IFERROR(__xludf.DUMMYFUNCTION("IMPORTRANGE(""https://docs.google.com/spreadsheets/d/1SX6NBoVAgQJ6U1MVXOaj8PK2l7WJ3RER9xtqwdhxkhw/edit?usp=sharing"",""สระแก้ว!J101"")"),0)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IFERROR(__xludf.DUMMYFUNCTION("IMPORTRANGE(""https://docs.google.com/spreadsheets/d/1SX6NBoVAgQJ6U1MVXOaj8PK2l7WJ3RER9xtqwdhxkhw/edit?usp=sharing"",""สระแก้ว!J107"")"),1)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IFERROR(__xludf.DUMMYFUNCTION("IMPORTRANGE(""https://docs.google.com/spreadsheets/d/1SX6NBoVAgQJ6U1MVXOaj8PK2l7WJ3RER9xtqwdhxkhw/edit?usp=sharing"",""สระแก้ว!J108"")"),1)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IFERROR(__xludf.DUMMYFUNCTION("IMPORTRANGE(""https://docs.google.com/spreadsheets/d/1SX6NBoVAgQJ6U1MVXOaj8PK2l7WJ3RER9xtqwdhxkhw/edit?usp=sharing"",""สระแก้ว!J109"")"),1)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IFERROR(__xludf.DUMMYFUNCTION("IMPORTRANGE(""https://docs.google.com/spreadsheets/d/1SX6NBoVAgQJ6U1MVXOaj8PK2l7WJ3RER9xtqwdhxkhw/edit?usp=sharing"",""สระแก้ว!I110"")"),6)</f>
        <v>6</v>
      </c>
      <c r="J185" s="205">
        <f ca="1">IFERROR(__xludf.DUMMYFUNCTION("IMPORTRANGE(""https://docs.google.com/spreadsheets/d/1SX6NBoVAgQJ6U1MVXOaj8PK2l7WJ3RER9xtqwdhxkhw/edit?usp=sharing"",""สระแก้ว!J110"")"),0)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IFERROR(__xludf.DUMMYFUNCTION("IMPORTRANGE(""https://docs.google.com/spreadsheets/d/1SX6NBoVAgQJ6U1MVXOaj8PK2l7WJ3RER9xtqwdhxkhw/edit?usp=sharing"",""สระแก้ว!I111"")"),6)</f>
        <v>6</v>
      </c>
      <c r="J186" s="205">
        <f ca="1">IFERROR(__xludf.DUMMYFUNCTION("IMPORTRANGE(""https://docs.google.com/spreadsheets/d/1SX6NBoVAgQJ6U1MVXOaj8PK2l7WJ3RER9xtqwdhxkhw/edit?usp=sharing"",""สระแก้ว!J111"")"),0)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IFERROR(__xludf.DUMMYFUNCTION("IMPORTRANGE(""https://docs.google.com/spreadsheets/d/1SX6NBoVAgQJ6U1MVXOaj8PK2l7WJ3RER9xtqwdhxkhw/edit?usp=sharing"",""สระแก้ว!J113"")"),0)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IFERROR(__xludf.DUMMYFUNCTION("IMPORTRANGE(""https://docs.google.com/spreadsheets/d/1SX6NBoVAgQJ6U1MVXOaj8PK2l7WJ3RER9xtqwdhxkhw/edit?usp=sharing"",""สระแก้ว!I114"")"),40000)</f>
        <v>40000</v>
      </c>
      <c r="J189" s="284">
        <f ca="1">IFERROR(__xludf.DUMMYFUNCTION("IMPORTRANGE(""https://docs.google.com/spreadsheets/d/1SX6NBoVAgQJ6U1MVXOaj8PK2l7WJ3RER9xtqwdhxkhw/edit?usp=sharing"",""สระแก้ว!J114"")"),0)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IFERROR(__xludf.DUMMYFUNCTION("IMPORTRANGE(""https://docs.google.com/spreadsheets/d/1SX6NBoVAgQJ6U1MVXOaj8PK2l7WJ3RER9xtqwdhxkhw/edit?usp=sharing"",""สระแก้ว!J119"")"),1)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IFERROR(__xludf.DUMMYFUNCTION("IMPORTRANGE(""https://docs.google.com/spreadsheets/d/1SX6NBoVAgQJ6U1MVXOaj8PK2l7WJ3RER9xtqwdhxkhw/edit?usp=sharing"",""สระแก้ว!J120"")"),0)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IFERROR(__xludf.DUMMYFUNCTION("IMPORTRANGE(""https://docs.google.com/spreadsheets/d/1SX6NBoVAgQJ6U1MVXOaj8PK2l7WJ3RER9xtqwdhxkhw/edit?usp=sharing"",""สระแก้ว!J121"")"),0)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IFERROR(__xludf.DUMMYFUNCTION("IMPORTRANGE(""https://docs.google.com/spreadsheets/d/1SX6NBoVAgQJ6U1MVXOaj8PK2l7WJ3RER9xtqwdhxkhw/edit?usp=sharing"",""สระแก้ว!J122"")"),0)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IFERROR(__xludf.DUMMYFUNCTION("IMPORTRANGE(""https://docs.google.com/spreadsheets/d/1SX6NBoVAgQJ6U1MVXOaj8PK2l7WJ3RER9xtqwdhxkhw/edit?usp=sharing"",""สระแก้ว!I124"")"),40000)</f>
        <v>40000</v>
      </c>
      <c r="J199" s="190">
        <f ca="1">IFERROR(__xludf.DUMMYFUNCTION("IMPORTRANGE(""https://docs.google.com/spreadsheets/d/1SX6NBoVAgQJ6U1MVXOaj8PK2l7WJ3RER9xtqwdhxkhw/edit?usp=sharing"",""สระแก้ว!J124"")"),0)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IFERROR(__xludf.DUMMYFUNCTION("IMPORTRANGE(""https://docs.google.com/spreadsheets/d/1SX6NBoVAgQJ6U1MVXOaj8PK2l7WJ3RER9xtqwdhxkhw/edit?usp=sharing"",""สระแก้ว!I125"")"),40000)</f>
        <v>40000</v>
      </c>
      <c r="J200" s="190">
        <f ca="1">IFERROR(__xludf.DUMMYFUNCTION("IMPORTRANGE(""https://docs.google.com/spreadsheets/d/1SX6NBoVAgQJ6U1MVXOaj8PK2l7WJ3RER9xtqwdhxkhw/edit?usp=sharing"",""สระแก้ว!J125"")"),0)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IFERROR(__xludf.DUMMYFUNCTION("IMPORTRANGE(""https://docs.google.com/spreadsheets/d/1SX6NBoVAgQJ6U1MVXOaj8PK2l7WJ3RER9xtqwdhxkhw/edit?usp=sharing"",""สระแก้ว!I126"")"),0)</f>
        <v>0</v>
      </c>
      <c r="J201" s="190">
        <f ca="1">IFERROR(__xludf.DUMMYFUNCTION("IMPORTRANGE(""https://docs.google.com/spreadsheets/d/1SX6NBoVAgQJ6U1MVXOaj8PK2l7WJ3RER9xtqwdhxkhw/edit?usp=sharing"",""สระแก้ว!J126"")"),0)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IFERROR(__xludf.DUMMYFUNCTION("IMPORTRANGE(""https://docs.google.com/spreadsheets/d/1SX6NBoVAgQJ6U1MVXOaj8PK2l7WJ3RER9xtqwdhxkhw/edit?usp=sharing"",""สระแก้ว!J127"")"),0)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IFERROR(__xludf.DUMMYFUNCTION("IMPORTRANGE(""https://docs.google.com/spreadsheets/d/1SX6NBoVAgQJ6U1MVXOaj8PK2l7WJ3RER9xtqwdhxkhw/edit?usp=sharing"",""สระแก้ว!J128"")"),0)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IFERROR(__xludf.DUMMYFUNCTION("IMPORTRANGE(""https://docs.google.com/spreadsheets/d/1SX6NBoVAgQJ6U1MVXOaj8PK2l7WJ3RER9xtqwdhxkhw/edit?usp=sharing"",""สระแก้ว!I129"")"),60)</f>
        <v>60</v>
      </c>
      <c r="J204" s="284">
        <f ca="1">IFERROR(__xludf.DUMMYFUNCTION("IMPORTRANGE(""https://docs.google.com/spreadsheets/d/1SX6NBoVAgQJ6U1MVXOaj8PK2l7WJ3RER9xtqwdhxkhw/edit?usp=sharing"",""สระแก้ว!J129"")"),0)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IFERROR(__xludf.DUMMYFUNCTION("IMPORTRANGE(""https://docs.google.com/spreadsheets/d/1SX6NBoVAgQJ6U1MVXOaj8PK2l7WJ3RER9xtqwdhxkhw/edit?usp=sharing"",""สระแก้ว!J135"")"),1)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IFERROR(__xludf.DUMMYFUNCTION("IMPORTRANGE(""https://docs.google.com/spreadsheets/d/1SX6NBoVAgQJ6U1MVXOaj8PK2l7WJ3RER9xtqwdhxkhw/edit?usp=sharing"",""สระแก้ว!J136"")"),1)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IFERROR(__xludf.DUMMYFUNCTION("IMPORTRANGE(""https://docs.google.com/spreadsheets/d/1SX6NBoVAgQJ6U1MVXOaj8PK2l7WJ3RER9xtqwdhxkhw/edit?usp=sharing"",""สระแก้ว!J137"")"),1)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IFERROR(__xludf.DUMMYFUNCTION("IMPORTRANGE(""https://docs.google.com/spreadsheets/d/1SX6NBoVAgQJ6U1MVXOaj8PK2l7WJ3RER9xtqwdhxkhw/edit?usp=sharing"",""สระแก้ว!I138"")"),60)</f>
        <v>60</v>
      </c>
      <c r="J213" s="205">
        <f ca="1">IFERROR(__xludf.DUMMYFUNCTION("IMPORTRANGE(""https://docs.google.com/spreadsheets/d/1SX6NBoVAgQJ6U1MVXOaj8PK2l7WJ3RER9xtqwdhxkhw/edit?usp=sharing"",""สระแก้ว!J138"")"),0)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IFERROR(__xludf.DUMMYFUNCTION("IMPORTRANGE(""https://docs.google.com/spreadsheets/d/1SX6NBoVAgQJ6U1MVXOaj8PK2l7WJ3RER9xtqwdhxkhw/edit?usp=sharing"",""สระแก้ว!I140"")"),20)</f>
        <v>20</v>
      </c>
      <c r="J215" s="205">
        <f ca="1">IFERROR(__xludf.DUMMYFUNCTION("IMPORTRANGE(""https://docs.google.com/spreadsheets/d/1SX6NBoVAgQJ6U1MVXOaj8PK2l7WJ3RER9xtqwdhxkhw/edit?usp=sharing"",""สระแก้ว!J140"")"),0)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IFERROR(__xludf.DUMMYFUNCTION("IMPORTRANGE(""https://docs.google.com/spreadsheets/d/1SX6NBoVAgQJ6U1MVXOaj8PK2l7WJ3RER9xtqwdhxkhw/edit?usp=sharing"",""สระแก้ว!I141"")"),3)</f>
        <v>3</v>
      </c>
      <c r="J216" s="205">
        <f ca="1">IFERROR(__xludf.DUMMYFUNCTION("IMPORTRANGE(""https://docs.google.com/spreadsheets/d/1SX6NBoVAgQJ6U1MVXOaj8PK2l7WJ3RER9xtqwdhxkhw/edit?usp=sharing"",""สระแก้ว!J141"")"),0)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IFERROR(__xludf.DUMMYFUNCTION("IMPORTRANGE(""https://docs.google.com/spreadsheets/d/1SX6NBoVAgQJ6U1MVXOaj8PK2l7WJ3RER9xtqwdhxkhw/edit?usp=sharing"",""สระแก้ว!J142"")"),0)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18915</v>
      </c>
      <c r="O220" s="151">
        <f t="shared" ref="O220:O222" ca="1" si="73">IF(L220&gt;0,N220*100/L220,0)</f>
        <v>98.030577869914481</v>
      </c>
      <c r="P220" s="151">
        <f t="shared" ref="P220:P222" ca="1" si="74">IF(M220&gt;0,N220*100/M220,0)</f>
        <v>98.030577869914481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18915</v>
      </c>
      <c r="O222" s="156">
        <f t="shared" ca="1" si="73"/>
        <v>98.030577869914481</v>
      </c>
      <c r="P222" s="156">
        <f t="shared" ca="1" si="74"/>
        <v>98.030577869914481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IFERROR(__xludf.DUMMYFUNCTION("IMPORTRANGE(""https://docs.google.com/spreadsheets/d/1Yj_ptqi66GCucihVvJfMjLAmec39IyEx_6qawtMGysU/edit?usp=sharing"",""สบก!BS75"")"),19295)</f>
        <v>19295</v>
      </c>
      <c r="N224" s="170">
        <f ca="1">IFERROR(__xludf.DUMMYFUNCTION("IMPORTRANGE(""https://docs.google.com/spreadsheets/d/1Yj_ptqi66GCucihVvJfMjLAmec39IyEx_6qawtMGysU/edit?usp=sharing"",""สบก!BT75"")"),18915)</f>
        <v>18915</v>
      </c>
      <c r="O224" s="170">
        <f ca="1">IF(L224&gt;0,N224*100/L224,0)</f>
        <v>98.030577869914481</v>
      </c>
      <c r="P224" s="170">
        <f ca="1">IF(M224&gt;0,N224*100/M224,0)</f>
        <v>98.030577869914481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IFERROR(__xludf.DUMMYFUNCTION("IMPORTRANGE(""https://docs.google.com/spreadsheets/d/1Yj_ptqi66GCucihVvJfMjLAmec39IyEx_6qawtMGysU/edit?usp=sharing"",""สบก!BO75"")"),0)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IFERROR(__xludf.DUMMYFUNCTION("IMPORTRANGE(""https://docs.google.com/spreadsheets/d/1Yj_ptqi66GCucihVvJfMjLAmec39IyEx_6qawtMGysU/edit?usp=sharing"",""สบก!BP75"")"),19295)</f>
        <v>19295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IFERROR(__xludf.DUMMYFUNCTION("IMPORTRANGE(""https://docs.google.com/spreadsheets/d/1SX6NBoVAgQJ6U1MVXOaj8PK2l7WJ3RER9xtqwdhxkhw/edit?usp=sharing"",""สระแก้ว!J151"")"),0)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IFERROR(__xludf.DUMMYFUNCTION("IMPORTRANGE(""https://docs.google.com/spreadsheets/d/1SX6NBoVAgQJ6U1MVXOaj8PK2l7WJ3RER9xtqwdhxkhw/edit?usp=sharing"",""สระแก้ว!J152"")"),1)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IFERROR(__xludf.DUMMYFUNCTION("IMPORTRANGE(""https://docs.google.com/spreadsheets/d/1SX6NBoVAgQJ6U1MVXOaj8PK2l7WJ3RER9xtqwdhxkhw/edit?usp=sharing"",""สระแก้ว!J153"")"),1)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IFERROR(__xludf.DUMMYFUNCTION("IMPORTRANGE(""https://docs.google.com/spreadsheets/d/1SX6NBoVAgQJ6U1MVXOaj8PK2l7WJ3RER9xtqwdhxkhw/edit?usp=sharing"",""สระแก้ว!J154"")"),0)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IFERROR(__xludf.DUMMYFUNCTION("IMPORTRANGE(""https://docs.google.com/spreadsheets/d/1SX6NBoVAgQJ6U1MVXOaj8PK2l7WJ3RER9xtqwdhxkhw/edit?usp=sharing"",""สระแก้ว!I155"")"),13)</f>
        <v>13</v>
      </c>
      <c r="J235" s="190">
        <f ca="1">IFERROR(__xludf.DUMMYFUNCTION("IMPORTRANGE(""https://docs.google.com/spreadsheets/d/1SX6NBoVAgQJ6U1MVXOaj8PK2l7WJ3RER9xtqwdhxkhw/edit?usp=sharing"",""สระแก้ว!J155"")"),13)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IFERROR(__xludf.DUMMYFUNCTION("IMPORTRANGE(""https://docs.google.com/spreadsheets/d/1SX6NBoVAgQJ6U1MVXOaj8PK2l7WJ3RER9xtqwdhxkhw/edit?usp=sharing"",""สระแก้ว!J156"")"),0)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IFERROR(__xludf.DUMMYFUNCTION("IMPORTRANGE(""https://docs.google.com/spreadsheets/d/1SX6NBoVAgQJ6U1MVXOaj8PK2l7WJ3RER9xtqwdhxkhw/edit?usp=sharing"",""สระแก้ว!J157"")"),0)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IFERROR(__xludf.DUMMYFUNCTION("IMPORTRANGE(""https://docs.google.com/spreadsheets/d/1SX6NBoVAgQJ6U1MVXOaj8PK2l7WJ3RER9xtqwdhxkhw/edit?usp=sharing"",""สระแก้ว!J159"")"),"")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IFERROR(__xludf.DUMMYFUNCTION("IMPORTRANGE(""https://docs.google.com/spreadsheets/d/1SX6NBoVAgQJ6U1MVXOaj8PK2l7WJ3RER9xtqwdhxkhw/edit?usp=sharing"",""สระแก้ว!J161"")"),0)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IFERROR(__xludf.DUMMYFUNCTION("IMPORTRANGE(""https://docs.google.com/spreadsheets/d/1SX6NBoVAgQJ6U1MVXOaj8PK2l7WJ3RER9xtqwdhxkhw/edit?usp=sharing"",""สระแก้ว!J162"")"),0)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IFERROR(__xludf.DUMMYFUNCTION("IMPORTRANGE(""https://docs.google.com/spreadsheets/d/1SX6NBoVAgQJ6U1MVXOaj8PK2l7WJ3RER9xtqwdhxkhw/edit?usp=sharing"",""สระแก้ว!J163"")"),0)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IFERROR(__xludf.DUMMYFUNCTION("IMPORTRANGE(""https://docs.google.com/spreadsheets/d/1SX6NBoVAgQJ6U1MVXOaj8PK2l7WJ3RER9xtqwdhxkhw/edit?usp=sharing"",""สระแก้ว!I164"")"),0)</f>
        <v>0</v>
      </c>
      <c r="J244" s="189">
        <f ca="1">IFERROR(__xludf.DUMMYFUNCTION("IMPORTRANGE(""https://docs.google.com/spreadsheets/d/1SX6NBoVAgQJ6U1MVXOaj8PK2l7WJ3RER9xtqwdhxkhw/edit?usp=sharing"",""สระแก้ว!J164"")"),0)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IFERROR(__xludf.DUMMYFUNCTION("IMPORTRANGE(""https://docs.google.com/spreadsheets/d/1SX6NBoVAgQJ6U1MVXOaj8PK2l7WJ3RER9xtqwdhxkhw/edit?usp=sharing"",""สระแก้ว!J165"")"),0)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IFERROR(__xludf.DUMMYFUNCTION("IMPORTRANGE(""https://docs.google.com/spreadsheets/d/1SX6NBoVAgQJ6U1MVXOaj8PK2l7WJ3RER9xtqwdhxkhw/edit?usp=sharing"",""สระแก้ว!I169"")"),0)</f>
        <v>0</v>
      </c>
      <c r="J249" s="316">
        <f ca="1">IFERROR(__xludf.DUMMYFUNCTION("IMPORTRANGE(""https://docs.google.com/spreadsheets/d/1SX6NBoVAgQJ6U1MVXOaj8PK2l7WJ3RER9xtqwdhxkhw/edit?usp=sharing"",""สระแก้ว!J169"")"),0)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IFERROR(__xludf.DUMMYFUNCTION("IMPORTRANGE(""https://docs.google.com/spreadsheets/d/1Yj_ptqi66GCucihVvJfMjLAmec39IyEx_6qawtMGysU/edit?usp=sharing"",""สบก!CB75"")"),0)</f>
        <v>0</v>
      </c>
      <c r="N254" s="170">
        <f ca="1">IFERROR(__xludf.DUMMYFUNCTION("IMPORTRANGE(""https://docs.google.com/spreadsheets/d/1Yj_ptqi66GCucihVvJfMjLAmec39IyEx_6qawtMGysU/edit?usp=sharing"",""สบก!CC75"")"),0)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IFERROR(__xludf.DUMMYFUNCTION("IMPORTRANGE(""https://docs.google.com/spreadsheets/d/1Yj_ptqi66GCucihVvJfMjLAmec39IyEx_6qawtMGysU/edit?usp=sharing"",""สบก!BX75"")"),0)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IFERROR(__xludf.DUMMYFUNCTION("IMPORTRANGE(""https://docs.google.com/spreadsheets/d/1Yj_ptqi66GCucihVvJfMjLAmec39IyEx_6qawtMGysU/edit?usp=sharing"",""สบก!BY75"")"),0)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IFERROR(__xludf.DUMMYFUNCTION("IMPORTRANGE(""https://docs.google.com/spreadsheets/d/1SX6NBoVAgQJ6U1MVXOaj8PK2l7WJ3RER9xtqwdhxkhw/edit?usp=sharing"",""สระแก้ว!J175"")"),0)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IFERROR(__xludf.DUMMYFUNCTION("IMPORTRANGE(""https://docs.google.com/spreadsheets/d/1SX6NBoVAgQJ6U1MVXOaj8PK2l7WJ3RER9xtqwdhxkhw/edit?usp=sharing"",""สระแก้ว!J176"")"),0)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IFERROR(__xludf.DUMMYFUNCTION("IMPORTRANGE(""https://docs.google.com/spreadsheets/d/1SX6NBoVAgQJ6U1MVXOaj8PK2l7WJ3RER9xtqwdhxkhw/edit?usp=sharing"",""สระแก้ว!J177"")"),0)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IFERROR(__xludf.DUMMYFUNCTION("IMPORTRANGE(""https://docs.google.com/spreadsheets/d/1SX6NBoVAgQJ6U1MVXOaj8PK2l7WJ3RER9xtqwdhxkhw/edit?usp=sharing"",""สระแก้ว!J178"")"),0)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IFERROR(__xludf.DUMMYFUNCTION("IMPORTRANGE(""https://docs.google.com/spreadsheets/d/1SX6NBoVAgQJ6U1MVXOaj8PK2l7WJ3RER9xtqwdhxkhw/edit?usp=sharing"",""สระแก้ว!I179"")"),0)</f>
        <v>0</v>
      </c>
      <c r="J264" s="190">
        <f ca="1">IFERROR(__xludf.DUMMYFUNCTION("IMPORTRANGE(""https://docs.google.com/spreadsheets/d/1SX6NBoVAgQJ6U1MVXOaj8PK2l7WJ3RER9xtqwdhxkhw/edit?usp=sharing"",""สระแก้ว!J179"")"),0)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IFERROR(__xludf.DUMMYFUNCTION("IMPORTRANGE(""https://docs.google.com/spreadsheets/d/1SX6NBoVAgQJ6U1MVXOaj8PK2l7WJ3RER9xtqwdhxkhw/edit?usp=sharing"",""สระแก้ว!I180"")"),0)</f>
        <v>0</v>
      </c>
      <c r="J265" s="190">
        <f ca="1">IFERROR(__xludf.DUMMYFUNCTION("IMPORTRANGE(""https://docs.google.com/spreadsheets/d/1SX6NBoVAgQJ6U1MVXOaj8PK2l7WJ3RER9xtqwdhxkhw/edit?usp=sharing"",""สระแก้ว!J180"")"),0)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IFERROR(__xludf.DUMMYFUNCTION("IMPORTRANGE(""https://docs.google.com/spreadsheets/d/1SX6NBoVAgQJ6U1MVXOaj8PK2l7WJ3RER9xtqwdhxkhw/edit?usp=sharing"",""สระแก้ว!I181"")"),0)</f>
        <v>0</v>
      </c>
      <c r="J266" s="190">
        <f ca="1">IFERROR(__xludf.DUMMYFUNCTION("IMPORTRANGE(""https://docs.google.com/spreadsheets/d/1SX6NBoVAgQJ6U1MVXOaj8PK2l7WJ3RER9xtqwdhxkhw/edit?usp=sharing"",""สระแก้ว!J181"")"),0)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IFERROR(__xludf.DUMMYFUNCTION("IMPORTRANGE(""https://docs.google.com/spreadsheets/d/1SX6NBoVAgQJ6U1MVXOaj8PK2l7WJ3RER9xtqwdhxkhw/edit?usp=sharing"",""สระแก้ว!I182"")"),0)</f>
        <v>0</v>
      </c>
      <c r="J267" s="190">
        <f ca="1">IFERROR(__xludf.DUMMYFUNCTION("IMPORTRANGE(""https://docs.google.com/spreadsheets/d/1SX6NBoVAgQJ6U1MVXOaj8PK2l7WJ3RER9xtqwdhxkhw/edit?usp=sharing"",""สระแก้ว!J182"")"),0)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IFERROR(__xludf.DUMMYFUNCTION("IMPORTRANGE(""https://docs.google.com/spreadsheets/d/1SX6NBoVAgQJ6U1MVXOaj8PK2l7WJ3RER9xtqwdhxkhw/edit?usp=sharing"",""สระแก้ว!J183"")"),0)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IFERROR(__xludf.DUMMYFUNCTION("IMPORTRANGE(""https://docs.google.com/spreadsheets/d/1SX6NBoVAgQJ6U1MVXOaj8PK2l7WJ3RER9xtqwdhxkhw/edit?usp=sharing"",""สระแก้ว!J184"")"),0)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IFERROR(__xludf.DUMMYFUNCTION("IMPORTRANGE(""https://docs.google.com/spreadsheets/d/1SX6NBoVAgQJ6U1MVXOaj8PK2l7WJ3RER9xtqwdhxkhw/edit?usp=sharing"",""สระแก้ว!I185"")"),15)</f>
        <v>15</v>
      </c>
      <c r="J270" s="316">
        <f ca="1">IFERROR(__xludf.DUMMYFUNCTION("IMPORTRANGE(""https://docs.google.com/spreadsheets/d/1SX6NBoVAgQJ6U1MVXOaj8PK2l7WJ3RER9xtqwdhxkhw/edit?usp=sharing"",""สระแก้ว!J185"")"),0)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1480</v>
      </c>
      <c r="O271" s="151">
        <f t="shared" ref="O271:O273" ca="1" si="84">IF(L271&gt;0,N271*100/L271,0)</f>
        <v>2.681159420289855</v>
      </c>
      <c r="P271" s="151">
        <f t="shared" ref="P271:P273" ca="1" si="85">IF(M271&gt;0,N271*100/M271,0)</f>
        <v>4.5891472868217056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1480</v>
      </c>
      <c r="O273" s="156">
        <f t="shared" ca="1" si="84"/>
        <v>2.681159420289855</v>
      </c>
      <c r="P273" s="156">
        <f t="shared" ca="1" si="85"/>
        <v>4.5891472868217056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IFERROR(__xludf.DUMMYFUNCTION("IMPORTRANGE(""https://docs.google.com/spreadsheets/d/1Yj_ptqi66GCucihVvJfMjLAmec39IyEx_6qawtMGysU/edit?usp=sharing"",""สบก!CK75"")"),32250)</f>
        <v>32250</v>
      </c>
      <c r="N275" s="170">
        <f ca="1">IFERROR(__xludf.DUMMYFUNCTION("IMPORTRANGE(""https://docs.google.com/spreadsheets/d/1Yj_ptqi66GCucihVvJfMjLAmec39IyEx_6qawtMGysU/edit?usp=sharing"",""สบก!CL75"")"),1480)</f>
        <v>1480</v>
      </c>
      <c r="O275" s="170">
        <f ca="1">IF(L275&gt;0,N275*100/L275,0)</f>
        <v>2.681159420289855</v>
      </c>
      <c r="P275" s="170">
        <f ca="1">IF(M275&gt;0,N275*100/M275,0)</f>
        <v>4.5891472868217056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IFERROR(__xludf.DUMMYFUNCTION("IMPORTRANGE(""https://docs.google.com/spreadsheets/d/1Yj_ptqi66GCucihVvJfMjLAmec39IyEx_6qawtMGysU/edit?usp=sharing"",""สบก!CG75"")"),0)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IFERROR(__xludf.DUMMYFUNCTION("IMPORTRANGE(""https://docs.google.com/spreadsheets/d/1Yj_ptqi66GCucihVvJfMjLAmec39IyEx_6qawtMGysU/edit?usp=sharing"",""สบก!CH75"")"),55200)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IFERROR(__xludf.DUMMYFUNCTION("IMPORTRANGE(""https://docs.google.com/spreadsheets/d/1SX6NBoVAgQJ6U1MVXOaj8PK2l7WJ3RER9xtqwdhxkhw/edit?usp=sharing"",""สระแก้ว!J191"")"),0)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IFERROR(__xludf.DUMMYFUNCTION("IMPORTRANGE(""https://docs.google.com/spreadsheets/d/1SX6NBoVAgQJ6U1MVXOaj8PK2l7WJ3RER9xtqwdhxkhw/edit?usp=sharing"",""สระแก้ว!J192"")"),1)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IFERROR(__xludf.DUMMYFUNCTION("IMPORTRANGE(""https://docs.google.com/spreadsheets/d/1SX6NBoVAgQJ6U1MVXOaj8PK2l7WJ3RER9xtqwdhxkhw/edit?usp=sharing"",""สระแก้ว!J193"")"),1)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IFERROR(__xludf.DUMMYFUNCTION("IMPORTRANGE(""https://docs.google.com/spreadsheets/d/1SX6NBoVAgQJ6U1MVXOaj8PK2l7WJ3RER9xtqwdhxkhw/edit?usp=sharing"",""สระแก้ว!J194"")"),1)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IFERROR(__xludf.DUMMYFUNCTION("IMPORTRANGE(""https://docs.google.com/spreadsheets/d/1SX6NBoVAgQJ6U1MVXOaj8PK2l7WJ3RER9xtqwdhxkhw/edit?usp=sharing"",""สระแก้ว!I195"")"),15)</f>
        <v>15</v>
      </c>
      <c r="J285" s="190">
        <f ca="1">IFERROR(__xludf.DUMMYFUNCTION("IMPORTRANGE(""https://docs.google.com/spreadsheets/d/1SX6NBoVAgQJ6U1MVXOaj8PK2l7WJ3RER9xtqwdhxkhw/edit?usp=sharing"",""สระแก้ว!J195"")"),0)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IFERROR(__xludf.DUMMYFUNCTION("IMPORTRANGE(""https://docs.google.com/spreadsheets/d/1SX6NBoVAgQJ6U1MVXOaj8PK2l7WJ3RER9xtqwdhxkhw/edit?usp=sharing"",""สระแก้ว!J196"")"),0)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IFERROR(__xludf.DUMMYFUNCTION("IMPORTRANGE(""https://docs.google.com/spreadsheets/d/1SX6NBoVAgQJ6U1MVXOaj8PK2l7WJ3RER9xtqwdhxkhw/edit?usp=sharing"",""สระแก้ว!J197"")"),0)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IFERROR(__xludf.DUMMYFUNCTION("IMPORTRANGE(""https://docs.google.com/spreadsheets/d/1SX6NBoVAgQJ6U1MVXOaj8PK2l7WJ3RER9xtqwdhxkhw/edit?usp=sharing"",""สระแก้ว!I199"")"),40)</f>
        <v>40</v>
      </c>
      <c r="J289" s="316">
        <f ca="1">IFERROR(__xludf.DUMMYFUNCTION("IMPORTRANGE(""https://docs.google.com/spreadsheets/d/1SX6NBoVAgQJ6U1MVXOaj8PK2l7WJ3RER9xtqwdhxkhw/edit?usp=sharing"",""สระแก้ว!J199"")"),40)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57520</v>
      </c>
      <c r="O290" s="151">
        <f t="shared" ref="O290:O292" ca="1" si="89">IF(L290&gt;0,N290*100/L290,0)</f>
        <v>46.522161112908442</v>
      </c>
      <c r="P290" s="151">
        <f t="shared" ref="P290:P292" ca="1" si="90">IF(M290&gt;0,N290*100/M290,0)</f>
        <v>46.522161112908442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57520</v>
      </c>
      <c r="O292" s="156">
        <f t="shared" ca="1" si="89"/>
        <v>46.522161112908442</v>
      </c>
      <c r="P292" s="156">
        <f t="shared" ca="1" si="90"/>
        <v>46.522161112908442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123640</v>
      </c>
      <c r="M294" s="169">
        <f ca="1">IFERROR(__xludf.DUMMYFUNCTION("IMPORTRANGE(""https://docs.google.com/spreadsheets/d/1Yj_ptqi66GCucihVvJfMjLAmec39IyEx_6qawtMGysU/edit?usp=sharing"",""สบก!CT75"")"),123640)</f>
        <v>123640</v>
      </c>
      <c r="N294" s="170">
        <f ca="1">IFERROR(__xludf.DUMMYFUNCTION("IMPORTRANGE(""https://docs.google.com/spreadsheets/d/1Yj_ptqi66GCucihVvJfMjLAmec39IyEx_6qawtMGysU/edit?usp=sharing"",""สบก!CU75"")"),57520)</f>
        <v>57520</v>
      </c>
      <c r="O294" s="170">
        <f ca="1">IF(L294&gt;0,N294*100/L294,0)</f>
        <v>46.522161112908442</v>
      </c>
      <c r="P294" s="170">
        <f ca="1">IF(M294&gt;0,N294*100/M294,0)</f>
        <v>46.522161112908442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IFERROR(__xludf.DUMMYFUNCTION("IMPORTRANGE(""https://docs.google.com/spreadsheets/d/1Yj_ptqi66GCucihVvJfMjLAmec39IyEx_6qawtMGysU/edit?usp=sharing"",""สบก!CP75"")"),0)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IFERROR(__xludf.DUMMYFUNCTION("IMPORTRANGE(""https://docs.google.com/spreadsheets/d/1Yj_ptqi66GCucihVvJfMjLAmec39IyEx_6qawtMGysU/edit?usp=sharing"",""สบก!CQ75"")"),123640)</f>
        <v>123640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IFERROR(__xludf.DUMMYFUNCTION("IMPORTRANGE(""https://docs.google.com/spreadsheets/d/1SX6NBoVAgQJ6U1MVXOaj8PK2l7WJ3RER9xtqwdhxkhw/edit?usp=sharing"",""สระแก้ว!J206"")"),1)</f>
        <v>1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IFERROR(__xludf.DUMMYFUNCTION("IMPORTRANGE(""https://docs.google.com/spreadsheets/d/1SX6NBoVAgQJ6U1MVXOaj8PK2l7WJ3RER9xtqwdhxkhw/edit?usp=sharing"",""สระแก้ว!J207"")"),1)</f>
        <v>1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IFERROR(__xludf.DUMMYFUNCTION("IMPORTRANGE(""https://docs.google.com/spreadsheets/d/1SX6NBoVAgQJ6U1MVXOaj8PK2l7WJ3RER9xtqwdhxkhw/edit?usp=sharing"",""สระแก้ว!J208"")"),1)</f>
        <v>1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IFERROR(__xludf.DUMMYFUNCTION("IMPORTRANGE(""https://docs.google.com/spreadsheets/d/1SX6NBoVAgQJ6U1MVXOaj8PK2l7WJ3RER9xtqwdhxkhw/edit?usp=sharing"",""สระแก้ว!I209"")"),40)</f>
        <v>40</v>
      </c>
      <c r="J304" s="205">
        <f ca="1">IFERROR(__xludf.DUMMYFUNCTION("IMPORTRANGE(""https://docs.google.com/spreadsheets/d/1SX6NBoVAgQJ6U1MVXOaj8PK2l7WJ3RER9xtqwdhxkhw/edit?usp=sharing"",""สระแก้ว!J209"")"),40)</f>
        <v>40</v>
      </c>
      <c r="K304" s="225">
        <f ca="1">IF(I304&gt;0,J304*100/I304,0)</f>
        <v>100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IFERROR(__xludf.DUMMYFUNCTION("IMPORTRANGE(""https://docs.google.com/spreadsheets/d/1SX6NBoVAgQJ6U1MVXOaj8PK2l7WJ3RER9xtqwdhxkhw/edit?usp=sharing"",""สระแก้ว!I211"")"),40)</f>
        <v>40</v>
      </c>
      <c r="J306" s="205">
        <f ca="1">IFERROR(__xludf.DUMMYFUNCTION("IMPORTRANGE(""https://docs.google.com/spreadsheets/d/1SX6NBoVAgQJ6U1MVXOaj8PK2l7WJ3RER9xtqwdhxkhw/edit?usp=sharing"",""สระแก้ว!J211"")"),0)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IFERROR(__xludf.DUMMYFUNCTION("IMPORTRANGE(""https://docs.google.com/spreadsheets/d/1SX6NBoVAgQJ6U1MVXOaj8PK2l7WJ3RER9xtqwdhxkhw/edit?usp=sharing"",""สระแก้ว!J212"")"),0)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IFERROR(__xludf.DUMMYFUNCTION("IMPORTRANGE(""https://docs.google.com/spreadsheets/d/1SX6NBoVAgQJ6U1MVXOaj8PK2l7WJ3RER9xtqwdhxkhw/edit?usp=sharing"",""สระแก้ว!J213"")"),0)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IFERROR(__xludf.DUMMYFUNCTION("IMPORTRANGE(""https://docs.google.com/spreadsheets/d/1SX6NBoVAgQJ6U1MVXOaj8PK2l7WJ3RER9xtqwdhxkhw/edit?usp=sharing"",""สระแก้ว!I214"")"),10)</f>
        <v>10</v>
      </c>
      <c r="J309" s="333">
        <f ca="1">IFERROR(__xludf.DUMMYFUNCTION("IMPORTRANGE(""https://docs.google.com/spreadsheets/d/1SX6NBoVAgQJ6U1MVXOaj8PK2l7WJ3RER9xtqwdhxkhw/edit?usp=sharing"",""สระแก้ว!J214"")"),4)</f>
        <v>4</v>
      </c>
      <c r="K309" s="334">
        <f ca="1">IF(I309&gt;0,J309*100/I309,0)</f>
        <v>40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395600</v>
      </c>
      <c r="M310" s="152">
        <f t="shared" ca="1" si="93"/>
        <v>197800</v>
      </c>
      <c r="N310" s="152">
        <f t="shared" ca="1" si="93"/>
        <v>62020</v>
      </c>
      <c r="O310" s="151">
        <f t="shared" ref="O310:O312" ca="1" si="94">IF(L310&gt;0,N310*100/L310,0)</f>
        <v>15.677451971688575</v>
      </c>
      <c r="P310" s="151">
        <f t="shared" ref="P310:P312" ca="1" si="95">IF(M310&gt;0,N310*100/M310,0)</f>
        <v>31.354903943377149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395600</v>
      </c>
      <c r="M312" s="157">
        <f t="shared" ca="1" si="97"/>
        <v>197800</v>
      </c>
      <c r="N312" s="157">
        <f t="shared" ca="1" si="97"/>
        <v>62020</v>
      </c>
      <c r="O312" s="156">
        <f t="shared" ca="1" si="94"/>
        <v>15.677451971688575</v>
      </c>
      <c r="P312" s="156">
        <f t="shared" ca="1" si="95"/>
        <v>31.354903943377149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395600</v>
      </c>
      <c r="M314" s="169">
        <f ca="1">IFERROR(__xludf.DUMMYFUNCTION("IMPORTRANGE(""https://docs.google.com/spreadsheets/d/1Yj_ptqi66GCucihVvJfMjLAmec39IyEx_6qawtMGysU/edit?usp=sharing"",""สบก!DC75"")"),197800)</f>
        <v>197800</v>
      </c>
      <c r="N314" s="170">
        <f ca="1">IFERROR(__xludf.DUMMYFUNCTION("IMPORTRANGE(""https://docs.google.com/spreadsheets/d/1Yj_ptqi66GCucihVvJfMjLAmec39IyEx_6qawtMGysU/edit?usp=sharing"",""สบก!DD75"")"),62020)</f>
        <v>62020</v>
      </c>
      <c r="O314" s="170">
        <f ca="1">IF(L314&gt;0,N314*100/L314,0)</f>
        <v>15.677451971688575</v>
      </c>
      <c r="P314" s="170">
        <f ca="1">IF(M314&gt;0,N314*100/M314,0)</f>
        <v>31.354903943377149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IFERROR(__xludf.DUMMYFUNCTION("IMPORTRANGE(""https://docs.google.com/spreadsheets/d/1Yj_ptqi66GCucihVvJfMjLAmec39IyEx_6qawtMGysU/edit?usp=sharing"",""สบก!CY75"")"),0)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IFERROR(__xludf.DUMMYFUNCTION("IMPORTRANGE(""https://docs.google.com/spreadsheets/d/1Yj_ptqi66GCucihVvJfMjLAmec39IyEx_6qawtMGysU/edit?usp=sharing"",""สบก!CZ75"")"),395600)</f>
        <v>395600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IFERROR(__xludf.DUMMYFUNCTION("IMPORTRANGE(""https://docs.google.com/spreadsheets/d/1SX6NBoVAgQJ6U1MVXOaj8PK2l7WJ3RER9xtqwdhxkhw/edit?usp=sharing"",""สระแก้ว!J221"")"),1)</f>
        <v>1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IFERROR(__xludf.DUMMYFUNCTION("IMPORTRANGE(""https://docs.google.com/spreadsheets/d/1SX6NBoVAgQJ6U1MVXOaj8PK2l7WJ3RER9xtqwdhxkhw/edit?usp=sharing"",""สระแก้ว!J222"")"),0)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IFERROR(__xludf.DUMMYFUNCTION("IMPORTRANGE(""https://docs.google.com/spreadsheets/d/1SX6NBoVAgQJ6U1MVXOaj8PK2l7WJ3RER9xtqwdhxkhw/edit?usp=sharing"",""สระแก้ว!J223"")"),0)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IFERROR(__xludf.DUMMYFUNCTION("IMPORTRANGE(""https://docs.google.com/spreadsheets/d/1SX6NBoVAgQJ6U1MVXOaj8PK2l7WJ3RER9xtqwdhxkhw/edit?usp=sharing"",""สระแก้ว!I224"")"),10)</f>
        <v>10</v>
      </c>
      <c r="J324" s="205">
        <f ca="1">IFERROR(__xludf.DUMMYFUNCTION("IMPORTRANGE(""https://docs.google.com/spreadsheets/d/1SX6NBoVAgQJ6U1MVXOaj8PK2l7WJ3RER9xtqwdhxkhw/edit?usp=sharing"",""สระแก้ว!J224"")"),4)</f>
        <v>4</v>
      </c>
      <c r="K324" s="225">
        <f ca="1">IF(I324&gt;0,J324*100/I324,0)</f>
        <v>40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IFERROR(__xludf.DUMMYFUNCTION("IMPORTRANGE(""https://docs.google.com/spreadsheets/d/1SX6NBoVAgQJ6U1MVXOaj8PK2l7WJ3RER9xtqwdhxkhw/edit?usp=sharing"",""สระแก้ว!J225"")"),0)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IFERROR(__xludf.DUMMYFUNCTION("IMPORTRANGE(""https://docs.google.com/spreadsheets/d/1SX6NBoVAgQJ6U1MVXOaj8PK2l7WJ3RER9xtqwdhxkhw/edit?usp=sharing"",""สระแก้ว!J226"")"),0)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IFERROR(__xludf.DUMMYFUNCTION("IMPORTRANGE(""https://docs.google.com/spreadsheets/d/1SX6NBoVAgQJ6U1MVXOaj8PK2l7WJ3RER9xtqwdhxkhw/edit?usp=sharing"",""สระแก้ว!I228"")"),780)</f>
        <v>780</v>
      </c>
      <c r="J328" s="339">
        <f ca="1">IFERROR(__xludf.DUMMYFUNCTION("IMPORTRANGE(""https://docs.google.com/spreadsheets/d/1SX6NBoVAgQJ6U1MVXOaj8PK2l7WJ3RER9xtqwdhxkhw/edit?usp=sharing"",""สระแก้ว!J228"")"),322)</f>
        <v>322</v>
      </c>
      <c r="K328" s="317">
        <f ca="1">IF(I328&gt;0,J328*100/I328,0)</f>
        <v>41.282051282051285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1497040</v>
      </c>
      <c r="M329" s="152">
        <f t="shared" ca="1" si="98"/>
        <v>959700</v>
      </c>
      <c r="N329" s="152">
        <f t="shared" ca="1" si="98"/>
        <v>775280</v>
      </c>
      <c r="O329" s="151">
        <f t="shared" ref="O329:O331" ca="1" si="99">IF(L329&gt;0,N329*100/L329,0)</f>
        <v>51.787527387377757</v>
      </c>
      <c r="P329" s="151">
        <f t="shared" ref="P329:P331" ca="1" si="100">IF(M329&gt;0,N329*100/M329,0)</f>
        <v>80.783578201521308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1497040</v>
      </c>
      <c r="M331" s="157">
        <f t="shared" ca="1" si="102"/>
        <v>959700</v>
      </c>
      <c r="N331" s="157">
        <f t="shared" ca="1" si="102"/>
        <v>775280</v>
      </c>
      <c r="O331" s="156">
        <f t="shared" ca="1" si="99"/>
        <v>51.787527387377757</v>
      </c>
      <c r="P331" s="156">
        <f t="shared" ca="1" si="100"/>
        <v>80.783578201521308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1350040</v>
      </c>
      <c r="M333" s="169">
        <f ca="1">IFERROR(__xludf.DUMMYFUNCTION("IMPORTRANGE(""https://docs.google.com/spreadsheets/d/1Yj_ptqi66GCucihVvJfMjLAmec39IyEx_6qawtMGysU/edit?usp=sharing"",""สบก!DL75"")"),812700)</f>
        <v>812700</v>
      </c>
      <c r="N333" s="170">
        <f ca="1">IFERROR(__xludf.DUMMYFUNCTION("IMPORTRANGE(""https://docs.google.com/spreadsheets/d/1Yj_ptqi66GCucihVvJfMjLAmec39IyEx_6qawtMGysU/edit?usp=sharing"",""สบก!DM75"")"),628280)</f>
        <v>628280</v>
      </c>
      <c r="O333" s="170">
        <f ca="1">IF(L333&gt;0,N333*100/L333,0)</f>
        <v>46.53788035910047</v>
      </c>
      <c r="P333" s="170">
        <f ca="1">IF(M333&gt;0,N333*100/M333,0)</f>
        <v>77.307739633321034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IFERROR(__xludf.DUMMYFUNCTION("IMPORTRANGE(""https://docs.google.com/spreadsheets/d/1Yj_ptqi66GCucihVvJfMjLAmec39IyEx_6qawtMGysU/edit?usp=sharing"",""สบก!DH75"")"),306000)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IFERROR(__xludf.DUMMYFUNCTION("IMPORTRANGE(""https://docs.google.com/spreadsheets/d/1Yj_ptqi66GCucihVvJfMjLAmec39IyEx_6qawtMGysU/edit?usp=sharing"",""สบก!DI75"")"),1044040)</f>
        <v>1044040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IFERROR(__xludf.DUMMYFUNCTION("IMPORTRANGE(""https://docs.google.com/spreadsheets/d/1SX6NBoVAgQJ6U1MVXOaj8PK2l7WJ3RER9xtqwdhxkhw/edit?usp=sharing"",""สระแก้ว!I234"")"),0)</f>
        <v>0</v>
      </c>
      <c r="J339" s="189">
        <f ca="1">IFERROR(__xludf.DUMMYFUNCTION("IMPORTRANGE(""https://docs.google.com/spreadsheets/d/1SX6NBoVAgQJ6U1MVXOaj8PK2l7WJ3RER9xtqwdhxkhw/edit?usp=sharing"",""สระแก้ว!J234"")"),370)</f>
        <v>370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IFERROR(__xludf.DUMMYFUNCTION("IMPORTRANGE(""https://docs.google.com/spreadsheets/d/1SX6NBoVAgQJ6U1MVXOaj8PK2l7WJ3RER9xtqwdhxkhw/edit?usp=sharing"",""สระแก้ว!I235"")"),8720)</f>
        <v>8720</v>
      </c>
      <c r="J340" s="189">
        <f ca="1">IFERROR(__xludf.DUMMYFUNCTION("IMPORTRANGE(""https://docs.google.com/spreadsheets/d/1SX6NBoVAgQJ6U1MVXOaj8PK2l7WJ3RER9xtqwdhxkhw/edit?usp=sharing"",""สระแก้ว!J235"")"),4411.9)</f>
        <v>4411.8999999999996</v>
      </c>
      <c r="K340" s="342">
        <f t="shared" ca="1" si="103"/>
        <v>50.595183486238525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IFERROR(__xludf.DUMMYFUNCTION("IMPORTRANGE(""https://docs.google.com/spreadsheets/d/1SX6NBoVAgQJ6U1MVXOaj8PK2l7WJ3RER9xtqwdhxkhw/edit?usp=sharing"",""สระแก้ว!I236"")"),780)</f>
        <v>780</v>
      </c>
      <c r="J341" s="189">
        <f ca="1">IFERROR(__xludf.DUMMYFUNCTION("IMPORTRANGE(""https://docs.google.com/spreadsheets/d/1SX6NBoVAgQJ6U1MVXOaj8PK2l7WJ3RER9xtqwdhxkhw/edit?usp=sharing"",""สระแก้ว!J236"")"),431)</f>
        <v>431</v>
      </c>
      <c r="K341" s="342">
        <f t="shared" ca="1" si="103"/>
        <v>55.256410256410255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9">
        <f ca="1">IFERROR(__xludf.DUMMYFUNCTION("IMPORTRANGE(""https://docs.google.com/spreadsheets/d/1SX6NBoVAgQJ6U1MVXOaj8PK2l7WJ3RER9xtqwdhxkhw/edit?usp=sharing"",""สระแก้ว!J237"")"),5532.00999999999)</f>
        <v>5532.0099999999902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IFERROR(__xludf.DUMMYFUNCTION("IMPORTRANGE(""https://docs.google.com/spreadsheets/d/1SX6NBoVAgQJ6U1MVXOaj8PK2l7WJ3RER9xtqwdhxkhw/edit?usp=sharing"",""สระแก้ว!I238"")"),780)</f>
        <v>780</v>
      </c>
      <c r="J343" s="189">
        <f ca="1">IFERROR(__xludf.DUMMYFUNCTION("IMPORTRANGE(""https://docs.google.com/spreadsheets/d/1SX6NBoVAgQJ6U1MVXOaj8PK2l7WJ3RER9xtqwdhxkhw/edit?usp=sharing"",""สระแก้ว!J238"")"),0)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9">
        <f ca="1">IFERROR(__xludf.DUMMYFUNCTION("IMPORTRANGE(""https://docs.google.com/spreadsheets/d/1SX6NBoVAgQJ6U1MVXOaj8PK2l7WJ3RER9xtqwdhxkhw/edit?usp=sharing"",""สระแก้ว!J239"")"),0)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IFERROR(__xludf.DUMMYFUNCTION("IMPORTRANGE(""https://docs.google.com/spreadsheets/d/1SX6NBoVAgQJ6U1MVXOaj8PK2l7WJ3RER9xtqwdhxkhw/edit?usp=sharing"",""สระแก้ว!I240"")"),780)</f>
        <v>780</v>
      </c>
      <c r="J345" s="189">
        <f ca="1">IFERROR(__xludf.DUMMYFUNCTION("IMPORTRANGE(""https://docs.google.com/spreadsheets/d/1SX6NBoVAgQJ6U1MVXOaj8PK2l7WJ3RER9xtqwdhxkhw/edit?usp=sharing"",""สระแก้ว!J240"")"),322)</f>
        <v>322</v>
      </c>
      <c r="K345" s="342">
        <f t="shared" ca="1" si="103"/>
        <v>41.282051282051285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9">
        <f ca="1">IFERROR(__xludf.DUMMYFUNCTION("IMPORTRANGE(""https://docs.google.com/spreadsheets/d/1SX6NBoVAgQJ6U1MVXOaj8PK2l7WJ3RER9xtqwdhxkhw/edit?usp=sharing"",""สระแก้ว!J241"")"),4478.59)</f>
        <v>4478.59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IFERROR(__xludf.DUMMYFUNCTION("IMPORTRANGE(""https://docs.google.com/spreadsheets/d/1SX6NBoVAgQJ6U1MVXOaj8PK2l7WJ3RER9xtqwdhxkhw/edit?usp=sharing"",""สระแก้ว!L242"")"),2968478)</f>
        <v>2968478</v>
      </c>
      <c r="M347" s="358"/>
      <c r="N347" s="358">
        <f ca="1">IFERROR(__xludf.DUMMYFUNCTION("IMPORTRANGE(""https://docs.google.com/spreadsheets/d/1SX6NBoVAgQJ6U1MVXOaj8PK2l7WJ3RER9xtqwdhxkhw/edit?usp=sharing"",""สระแก้ว!M242"")"),729959.07)</f>
        <v>729959.07</v>
      </c>
      <c r="O347" s="358">
        <f ca="1">+IF(L347&gt;0,N347*100/L347,0)</f>
        <v>24.590347983040466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IFERROR(__xludf.DUMMYFUNCTION("IMPORTRANGE(""https://docs.google.com/spreadsheets/d/1SX6NBoVAgQJ6U1MVXOaj8PK2l7WJ3RER9xtqwdhxkhw/edit?usp=sharing"",""สระแก้ว!L246"")"),0)</f>
        <v>0</v>
      </c>
      <c r="M351" s="166"/>
      <c r="N351" s="166">
        <f ca="1">IFERROR(__xludf.DUMMYFUNCTION("IMPORTRANGE(""https://docs.google.com/spreadsheets/d/1SX6NBoVAgQJ6U1MVXOaj8PK2l7WJ3RER9xtqwdhxkhw/edit?usp=sharing"",""สระแก้ว!M246"")"),0)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IFERROR(__xludf.DUMMYFUNCTION("IMPORTRANGE(""https://docs.google.com/spreadsheets/d/1SX6NBoVAgQJ6U1MVXOaj8PK2l7WJ3RER9xtqwdhxkhw/edit?usp=sharing"",""สระแก้ว!L247"")"),0)</f>
        <v>0</v>
      </c>
      <c r="M352" s="167"/>
      <c r="N352" s="166">
        <f ca="1">IFERROR(__xludf.DUMMYFUNCTION("IMPORTRANGE(""https://docs.google.com/spreadsheets/d/1SX6NBoVAgQJ6U1MVXOaj8PK2l7WJ3RER9xtqwdhxkhw/edit?usp=sharing"",""สระแก้ว!M247"")"),0)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IFERROR(__xludf.DUMMYFUNCTION("IMPORTRANGE(""https://docs.google.com/spreadsheets/d/1SX6NBoVAgQJ6U1MVXOaj8PK2l7WJ3RER9xtqwdhxkhw/edit?usp=sharing"",""สระแก้ว!L248"")"),0)</f>
        <v>0</v>
      </c>
      <c r="M353" s="170"/>
      <c r="N353" s="170">
        <f ca="1">IFERROR(__xludf.DUMMYFUNCTION("IMPORTRANGE(""https://docs.google.com/spreadsheets/d/1SX6NBoVAgQJ6U1MVXOaj8PK2l7WJ3RER9xtqwdhxkhw/edit?usp=sharing"",""สระแก้ว!M248"")"),0)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IFERROR(__xludf.DUMMYFUNCTION("IMPORTRANGE(""https://docs.google.com/spreadsheets/d/1SX6NBoVAgQJ6U1MVXOaj8PK2l7WJ3RER9xtqwdhxkhw/edit?usp=sharing"",""สระแก้ว!L249"")"),0)</f>
        <v>0</v>
      </c>
      <c r="M354" s="170"/>
      <c r="N354" s="169">
        <f ca="1">IFERROR(__xludf.DUMMYFUNCTION("IMPORTRANGE(""https://docs.google.com/spreadsheets/d/1SX6NBoVAgQJ6U1MVXOaj8PK2l7WJ3RER9xtqwdhxkhw/edit?usp=sharing"",""สระแก้ว!M249"")"),0)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IFERROR(__xludf.DUMMYFUNCTION("IMPORTRANGE(""https://docs.google.com/spreadsheets/d/1SX6NBoVAgQJ6U1MVXOaj8PK2l7WJ3RER9xtqwdhxkhw/edit?usp=sharing"",""สระแก้ว!J255"")"),0)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IFERROR(__xludf.DUMMYFUNCTION("IMPORTRANGE(""https://docs.google.com/spreadsheets/d/1SX6NBoVAgQJ6U1MVXOaj8PK2l7WJ3RER9xtqwdhxkhw/edit?usp=sharing"",""สระแก้ว!J256"")"),0)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IFERROR(__xludf.DUMMYFUNCTION("IMPORTRANGE(""https://docs.google.com/spreadsheets/d/1SX6NBoVAgQJ6U1MVXOaj8PK2l7WJ3RER9xtqwdhxkhw/edit?usp=sharing"",""สระแก้ว!J257"")"),0)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IFERROR(__xludf.DUMMYFUNCTION("IMPORTRANGE(""https://docs.google.com/spreadsheets/d/1SX6NBoVAgQJ6U1MVXOaj8PK2l7WJ3RER9xtqwdhxkhw/edit?usp=sharing"",""สระแก้ว!J258"")"),0)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IFERROR(__xludf.DUMMYFUNCTION("IMPORTRANGE(""https://docs.google.com/spreadsheets/d/1SX6NBoVAgQJ6U1MVXOaj8PK2l7WJ3RER9xtqwdhxkhw/edit?usp=sharing"",""สระแก้ว!J166"")"),0)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IFERROR(__xludf.DUMMYFUNCTION("IMPORTRANGE(""https://docs.google.com/spreadsheets/d/1SX6NBoVAgQJ6U1MVXOaj8PK2l7WJ3RER9xtqwdhxkhw/edit?usp=sharing"",""สระแก้ว!J166"")"),0)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IFERROR(__xludf.DUMMYFUNCTION("IMPORTRANGE(""https://docs.google.com/spreadsheets/d/1SX6NBoVAgQJ6U1MVXOaj8PK2l7WJ3RER9xtqwdhxkhw/edit?usp=sharing"",""สระแก้ว!J166"")"),0)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IFERROR(__xludf.DUMMYFUNCTION("IMPORTRANGE(""https://docs.google.com/spreadsheets/d/1SX6NBoVAgQJ6U1MVXOaj8PK2l7WJ3RER9xtqwdhxkhw/edit?usp=sharing"",""สระแก้ว!J166"")"),0)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IFERROR(__xludf.DUMMYFUNCTION("IMPORTRANGE(""https://docs.google.com/spreadsheets/d/1SX6NBoVAgQJ6U1MVXOaj8PK2l7WJ3RER9xtqwdhxkhw/edit?usp=sharing"",""สระแก้ว!I263"")"),0)</f>
        <v>0</v>
      </c>
      <c r="J368" s="189">
        <f ca="1">IFERROR(__xludf.DUMMYFUNCTION("IMPORTRANGE(""https://docs.google.com/spreadsheets/d/1SX6NBoVAgQJ6U1MVXOaj8PK2l7WJ3RER9xtqwdhxkhw/edit?usp=sharing"",""สระแก้ว!J263"")"),0)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IFERROR(__xludf.DUMMYFUNCTION("IMPORTRANGE(""https://docs.google.com/spreadsheets/d/1SX6NBoVAgQJ6U1MVXOaj8PK2l7WJ3RER9xtqwdhxkhw/edit?usp=sharing"",""สระแก้ว!I164"")"),0)</f>
        <v>0</v>
      </c>
      <c r="J369" s="205">
        <f ca="1">IFERROR(__xludf.DUMMYFUNCTION("IMPORTRANGE(""https://docs.google.com/spreadsheets/d/1SX6NBoVAgQJ6U1MVXOaj8PK2l7WJ3RER9xtqwdhxkhw/edit?usp=sharing"",""สระแก้ว!J164"")"),0)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IFERROR(__xludf.DUMMYFUNCTION("IMPORTRANGE(""https://docs.google.com/spreadsheets/d/1SX6NBoVAgQJ6U1MVXOaj8PK2l7WJ3RER9xtqwdhxkhw/edit?usp=sharing"",""สระแก้ว!I265"")"),0)</f>
        <v>0</v>
      </c>
      <c r="J370" s="205">
        <f ca="1">IFERROR(__xludf.DUMMYFUNCTION("IMPORTRANGE(""https://docs.google.com/spreadsheets/d/1SX6NBoVAgQJ6U1MVXOaj8PK2l7WJ3RER9xtqwdhxkhw/edit?usp=sharing"",""สระแก้ว!J265"")"),0)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IFERROR(__xludf.DUMMYFUNCTION("IMPORTRANGE(""https://docs.google.com/spreadsheets/d/1SX6NBoVAgQJ6U1MVXOaj8PK2l7WJ3RER9xtqwdhxkhw/edit?usp=sharing"",""สระแก้ว!I164"")"),0)</f>
        <v>0</v>
      </c>
      <c r="J371" s="190">
        <f ca="1">IFERROR(__xludf.DUMMYFUNCTION("IMPORTRANGE(""https://docs.google.com/spreadsheets/d/1SX6NBoVAgQJ6U1MVXOaj8PK2l7WJ3RER9xtqwdhxkhw/edit?usp=sharing"",""สระแก้ว!J164"")"),0)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IFERROR(__xludf.DUMMYFUNCTION("IMPORTRANGE(""https://docs.google.com/spreadsheets/d/1SX6NBoVAgQJ6U1MVXOaj8PK2l7WJ3RER9xtqwdhxkhw/edit?usp=sharing"",""สระแก้ว!I267"")"),0)</f>
        <v>0</v>
      </c>
      <c r="J372" s="190">
        <f ca="1">IFERROR(__xludf.DUMMYFUNCTION("IMPORTRANGE(""https://docs.google.com/spreadsheets/d/1SX6NBoVAgQJ6U1MVXOaj8PK2l7WJ3RER9xtqwdhxkhw/edit?usp=sharing"",""สระแก้ว!J267"")"),0)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IFERROR(__xludf.DUMMYFUNCTION("IMPORTRANGE(""https://docs.google.com/spreadsheets/d/1SX6NBoVAgQJ6U1MVXOaj8PK2l7WJ3RER9xtqwdhxkhw/edit?usp=sharing"",""สระแก้ว!I164"")"),0)</f>
        <v>0</v>
      </c>
      <c r="J373" s="205">
        <f ca="1">IFERROR(__xludf.DUMMYFUNCTION("IMPORTRANGE(""https://docs.google.com/spreadsheets/d/1SX6NBoVAgQJ6U1MVXOaj8PK2l7WJ3RER9xtqwdhxkhw/edit?usp=sharing"",""สระแก้ว!J164"")"),0)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IFERROR(__xludf.DUMMYFUNCTION("IMPORTRANGE(""https://docs.google.com/spreadsheets/d/1SX6NBoVAgQJ6U1MVXOaj8PK2l7WJ3RER9xtqwdhxkhw/edit?usp=sharing"",""สระแก้ว!I164"")"),0)</f>
        <v>0</v>
      </c>
      <c r="J374" s="189">
        <f ca="1">IFERROR(__xludf.DUMMYFUNCTION("IMPORTRANGE(""https://docs.google.com/spreadsheets/d/1SX6NBoVAgQJ6U1MVXOaj8PK2l7WJ3RER9xtqwdhxkhw/edit?usp=sharing"",""สระแก้ว!J164"")"),0)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IFERROR(__xludf.DUMMYFUNCTION("IMPORTRANGE(""https://docs.google.com/spreadsheets/d/1SX6NBoVAgQJ6U1MVXOaj8PK2l7WJ3RER9xtqwdhxkhw/edit?usp=sharing"",""สระแก้ว!I270"")"),0)</f>
        <v>0</v>
      </c>
      <c r="J375" s="189">
        <f ca="1">IFERROR(__xludf.DUMMYFUNCTION("IMPORTRANGE(""https://docs.google.com/spreadsheets/d/1SX6NBoVAgQJ6U1MVXOaj8PK2l7WJ3RER9xtqwdhxkhw/edit?usp=sharing"",""สระแก้ว!J270"")"),0)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IFERROR(__xludf.DUMMYFUNCTION("IMPORTRANGE(""https://docs.google.com/spreadsheets/d/1SX6NBoVAgQJ6U1MVXOaj8PK2l7WJ3RER9xtqwdhxkhw/edit?usp=sharing"",""สระแก้ว!I271"")"),0)</f>
        <v>0</v>
      </c>
      <c r="J376" s="190">
        <f ca="1">IFERROR(__xludf.DUMMYFUNCTION("IMPORTRANGE(""https://docs.google.com/spreadsheets/d/1SX6NBoVAgQJ6U1MVXOaj8PK2l7WJ3RER9xtqwdhxkhw/edit?usp=sharing"",""สระแก้ว!J271"")"),0)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IFERROR(__xludf.DUMMYFUNCTION("IMPORTRANGE(""https://docs.google.com/spreadsheets/d/1SX6NBoVAgQJ6U1MVXOaj8PK2l7WJ3RER9xtqwdhxkhw/edit?usp=sharing"",""สระแก้ว!I272"")"),0)</f>
        <v>0</v>
      </c>
      <c r="J377" s="205">
        <f ca="1">IFERROR(__xludf.DUMMYFUNCTION("IMPORTRANGE(""https://docs.google.com/spreadsheets/d/1SX6NBoVAgQJ6U1MVXOaj8PK2l7WJ3RER9xtqwdhxkhw/edit?usp=sharing"",""สระแก้ว!J272"")"),0)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IFERROR(__xludf.DUMMYFUNCTION("IMPORTRANGE(""https://docs.google.com/spreadsheets/d/1SX6NBoVAgQJ6U1MVXOaj8PK2l7WJ3RER9xtqwdhxkhw/edit?usp=sharing"",""สระแก้ว!J273"")"),0)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IFERROR(__xludf.DUMMYFUNCTION("IMPORTRANGE(""https://docs.google.com/spreadsheets/d/1SX6NBoVAgQJ6U1MVXOaj8PK2l7WJ3RER9xtqwdhxkhw/edit?usp=sharing"",""สระแก้ว!M275"")"),270385.58)</f>
        <v>270385.58</v>
      </c>
      <c r="O380" s="373">
        <f ca="1">+IF(L380&gt;0,N380*100/L380,0)</f>
        <v>26.288801384513672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IFERROR(__xludf.DUMMYFUNCTION("IMPORTRANGE(""https://docs.google.com/spreadsheets/d/1SX6NBoVAgQJ6U1MVXOaj8PK2l7WJ3RER9xtqwdhxkhw/edit?usp=sharing"",""สระแก้ว!L277"")"),0)</f>
        <v>0</v>
      </c>
      <c r="M382" s="166"/>
      <c r="N382" s="166">
        <f ca="1">IFERROR(__xludf.DUMMYFUNCTION("IMPORTRANGE(""https://docs.google.com/spreadsheets/d/1SX6NBoVAgQJ6U1MVXOaj8PK2l7WJ3RER9xtqwdhxkhw/edit?usp=sharing"",""สระแก้ว!M277"")"),0)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IFERROR(__xludf.DUMMYFUNCTION("IMPORTRANGE(""https://docs.google.com/spreadsheets/d/1SX6NBoVAgQJ6U1MVXOaj8PK2l7WJ3RER9xtqwdhxkhw/edit?usp=sharing"",""สระแก้ว!L278"")"),1028520)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IFERROR(__xludf.DUMMYFUNCTION("IMPORTRANGE(""https://docs.google.com/spreadsheets/d/1SX6NBoVAgQJ6U1MVXOaj8PK2l7WJ3RER9xtqwdhxkhw/edit?usp=sharing"",""สระแก้ว!M278"")"),270385.58)</f>
        <v>270385.58</v>
      </c>
      <c r="O383" s="167">
        <f t="shared" ca="1" si="109"/>
        <v>26.288801384513672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IFERROR(__xludf.DUMMYFUNCTION("IMPORTRANGE(""https://docs.google.com/spreadsheets/d/1SX6NBoVAgQJ6U1MVXOaj8PK2l7WJ3RER9xtqwdhxkhw/edit?usp=sharing"",""สระแก้ว!L279"")"),0)</f>
        <v>0</v>
      </c>
      <c r="M384" s="170"/>
      <c r="N384" s="170">
        <f ca="1">IFERROR(__xludf.DUMMYFUNCTION("IMPORTRANGE(""https://docs.google.com/spreadsheets/d/1SX6NBoVAgQJ6U1MVXOaj8PK2l7WJ3RER9xtqwdhxkhw/edit?usp=sharing"",""สระแก้ว!M279"")"),0)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IFERROR(__xludf.DUMMYFUNCTION("IMPORTRANGE(""https://docs.google.com/spreadsheets/d/1SX6NBoVAgQJ6U1MVXOaj8PK2l7WJ3RER9xtqwdhxkhw/edit?usp=sharing"",""สระแก้ว!L280"")"),1028520)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IFERROR(__xludf.DUMMYFUNCTION("IMPORTRANGE(""https://docs.google.com/spreadsheets/d/1SX6NBoVAgQJ6U1MVXOaj8PK2l7WJ3RER9xtqwdhxkhw/edit?usp=sharing"",""สระแก้ว!M280"")"),270385.58)</f>
        <v>270385.58</v>
      </c>
      <c r="O385" s="170">
        <f t="shared" ca="1" si="109"/>
        <v>26.288801384513672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IFERROR(__xludf.DUMMYFUNCTION("IMPORTRANGE(""https://docs.google.com/spreadsheets/d/1SX6NBoVAgQJ6U1MVXOaj8PK2l7WJ3RER9xtqwdhxkhw/edit?usp=sharing"",""สระแก้ว!M281"")"),165260)</f>
        <v>165260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IFERROR(__xludf.DUMMYFUNCTION("IMPORTRANGE(""https://docs.google.com/spreadsheets/d/1SX6NBoVAgQJ6U1MVXOaj8PK2l7WJ3RER9xtqwdhxkhw/edit?usp=sharing"",""สระแก้ว!M282"")"),0)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IFERROR(__xludf.DUMMYFUNCTION("IMPORTRANGE(""https://docs.google.com/spreadsheets/d/1SX6NBoVAgQJ6U1MVXOaj8PK2l7WJ3RER9xtqwdhxkhw/edit?usp=sharing"",""สระแก้ว!M283"")"),53225.58)</f>
        <v>53225.58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IFERROR(__xludf.DUMMYFUNCTION("IMPORTRANGE(""https://docs.google.com/spreadsheets/d/1SX6NBoVAgQJ6U1MVXOaj8PK2l7WJ3RER9xtqwdhxkhw/edit?usp=sharing"",""สระแก้ว!M284"")"),51900)</f>
        <v>51900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IFERROR(__xludf.DUMMYFUNCTION("IMPORTRANGE(""https://docs.google.com/spreadsheets/d/1SX6NBoVAgQJ6U1MVXOaj8PK2l7WJ3RER9xtqwdhxkhw/edit?usp=sharing"",""สระแก้ว!J286"")"),0)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IFERROR(__xludf.DUMMYFUNCTION("IMPORTRANGE(""https://docs.google.com/spreadsheets/d/1SX6NBoVAgQJ6U1MVXOaj8PK2l7WJ3RER9xtqwdhxkhw/edit?usp=sharing"",""สระแก้ว!J287"")"),1)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IFERROR(__xludf.DUMMYFUNCTION("IMPORTRANGE(""https://docs.google.com/spreadsheets/d/1SX6NBoVAgQJ6U1MVXOaj8PK2l7WJ3RER9xtqwdhxkhw/edit?usp=sharing"",""สระแก้ว!J288"")"),1)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IFERROR(__xludf.DUMMYFUNCTION("IMPORTRANGE(""https://docs.google.com/spreadsheets/d/1SX6NBoVAgQJ6U1MVXOaj8PK2l7WJ3RER9xtqwdhxkhw/edit?usp=sharing"",""สระแก้ว!J289"")"),1)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IFERROR(__xludf.DUMMYFUNCTION("IMPORTRANGE(""https://docs.google.com/spreadsheets/d/1SX6NBoVAgQJ6U1MVXOaj8PK2l7WJ3RER9xtqwdhxkhw/edit?usp=sharing"",""สระแก้ว!I291"")"),100)</f>
        <v>100</v>
      </c>
      <c r="J396" s="199">
        <f ca="1">IFERROR(__xludf.DUMMYFUNCTION("IMPORTRANGE(""https://docs.google.com/spreadsheets/d/1SX6NBoVAgQJ6U1MVXOaj8PK2l7WJ3RER9xtqwdhxkhw/edit?usp=sharing"",""สระแก้ว!J291"")"),100)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IFERROR(__xludf.DUMMYFUNCTION("IMPORTRANGE(""https://docs.google.com/spreadsheets/d/1SX6NBoVAgQJ6U1MVXOaj8PK2l7WJ3RER9xtqwdhxkhw/edit?usp=sharing"",""สระแก้ว!I292"")"),1000)</f>
        <v>1000</v>
      </c>
      <c r="J397" s="199">
        <f ca="1">IFERROR(__xludf.DUMMYFUNCTION("IMPORTRANGE(""https://docs.google.com/spreadsheets/d/1SX6NBoVAgQJ6U1MVXOaj8PK2l7WJ3RER9xtqwdhxkhw/edit?usp=sharing"",""สระแก้ว!J292"")"),0)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IFERROR(__xludf.DUMMYFUNCTION("IMPORTRANGE(""https://docs.google.com/spreadsheets/d/1SX6NBoVAgQJ6U1MVXOaj8PK2l7WJ3RER9xtqwdhxkhw/edit?usp=sharing"",""สระแก้ว!I293"")"),100)</f>
        <v>100</v>
      </c>
      <c r="J398" s="199">
        <f ca="1">IFERROR(__xludf.DUMMYFUNCTION("IMPORTRANGE(""https://docs.google.com/spreadsheets/d/1SX6NBoVAgQJ6U1MVXOaj8PK2l7WJ3RER9xtqwdhxkhw/edit?usp=sharing"",""สระแก้ว!J293"")"),0)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IFERROR(__xludf.DUMMYFUNCTION("IMPORTRANGE(""https://docs.google.com/spreadsheets/d/1SX6NBoVAgQJ6U1MVXOaj8PK2l7WJ3RER9xtqwdhxkhw/edit?usp=sharing"",""สระแก้ว!J294"")"),0)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IFERROR(__xludf.DUMMYFUNCTION("IMPORTRANGE(""https://docs.google.com/spreadsheets/d/1SX6NBoVAgQJ6U1MVXOaj8PK2l7WJ3RER9xtqwdhxkhw/edit?usp=sharing"",""สระแก้ว!J295"")"),0)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IFERROR(__xludf.DUMMYFUNCTION("IMPORTRANGE(""https://docs.google.com/spreadsheets/d/1SX6NBoVAgQJ6U1MVXOaj8PK2l7WJ3RER9xtqwdhxkhw/edit?usp=sharing"",""สระแก้ว!M296"")"),72340)</f>
        <v>72340</v>
      </c>
      <c r="O401" s="373">
        <f ca="1">+IF(L401&gt;0,N401*100/L401,0)</f>
        <v>36.79178110060014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IFERROR(__xludf.DUMMYFUNCTION("IMPORTRANGE(""https://docs.google.com/spreadsheets/d/1SX6NBoVAgQJ6U1MVXOaj8PK2l7WJ3RER9xtqwdhxkhw/edit?usp=sharing"",""สระแก้ว!L298"")"),0)</f>
        <v>0</v>
      </c>
      <c r="M403" s="166"/>
      <c r="N403" s="170">
        <f ca="1">IFERROR(__xludf.DUMMYFUNCTION("IMPORTRANGE(""https://docs.google.com/spreadsheets/d/1SX6NBoVAgQJ6U1MVXOaj8PK2l7WJ3RER9xtqwdhxkhw/edit?usp=sharing"",""สระแก้ว!M298"")"),0)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IFERROR(__xludf.DUMMYFUNCTION("IMPORTRANGE(""https://docs.google.com/spreadsheets/d/1SX6NBoVAgQJ6U1MVXOaj8PK2l7WJ3RER9xtqwdhxkhw/edit?usp=sharing"",""สระแก้ว!L299"")"),196620)</f>
        <v>196620</v>
      </c>
      <c r="M404" s="167"/>
      <c r="N404" s="170">
        <f ca="1">IFERROR(__xludf.DUMMYFUNCTION("IMPORTRANGE(""https://docs.google.com/spreadsheets/d/1SX6NBoVAgQJ6U1MVXOaj8PK2l7WJ3RER9xtqwdhxkhw/edit?usp=sharing"",""สระแก้ว!M299"")"),72340)</f>
        <v>72340</v>
      </c>
      <c r="O404" s="170">
        <f t="shared" ca="1" si="112"/>
        <v>36.79178110060014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IFERROR(__xludf.DUMMYFUNCTION("IMPORTRANGE(""https://docs.google.com/spreadsheets/d/1SX6NBoVAgQJ6U1MVXOaj8PK2l7WJ3RER9xtqwdhxkhw/edit?usp=sharing"",""สระแก้ว!L300"")"),0)</f>
        <v>0</v>
      </c>
      <c r="M405" s="170"/>
      <c r="N405" s="170">
        <f ca="1">IFERROR(__xludf.DUMMYFUNCTION("IMPORTRANGE(""https://docs.google.com/spreadsheets/d/1SX6NBoVAgQJ6U1MVXOaj8PK2l7WJ3RER9xtqwdhxkhw/edit?usp=sharing"",""สระแก้ว!M300"")"),0)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IFERROR(__xludf.DUMMYFUNCTION("IMPORTRANGE(""https://docs.google.com/spreadsheets/d/1SX6NBoVAgQJ6U1MVXOaj8PK2l7WJ3RER9xtqwdhxkhw/edit?usp=sharing"",""สระแก้ว!L301"")"),196620)</f>
        <v>196620</v>
      </c>
      <c r="M406" s="170"/>
      <c r="N406" s="170">
        <f ca="1">IFERROR(__xludf.DUMMYFUNCTION("IMPORTRANGE(""https://docs.google.com/spreadsheets/d/1SX6NBoVAgQJ6U1MVXOaj8PK2l7WJ3RER9xtqwdhxkhw/edit?usp=sharing"",""สระแก้ว!M301"")"),72340)</f>
        <v>72340</v>
      </c>
      <c r="O406" s="170">
        <f t="shared" ca="1" si="112"/>
        <v>36.79178110060014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IFERROR(__xludf.DUMMYFUNCTION("IMPORTRANGE(""https://docs.google.com/spreadsheets/d/1SX6NBoVAgQJ6U1MVXOaj8PK2l7WJ3RER9xtqwdhxkhw/edit?usp=sharing"",""สระแก้ว!M302"")"),60990)</f>
        <v>60990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IFERROR(__xludf.DUMMYFUNCTION("IMPORTRANGE(""https://docs.google.com/spreadsheets/d/1SX6NBoVAgQJ6U1MVXOaj8PK2l7WJ3RER9xtqwdhxkhw/edit?usp=sharing"",""สระแก้ว!M303"")"),0)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IFERROR(__xludf.DUMMYFUNCTION("IMPORTRANGE(""https://docs.google.com/spreadsheets/d/1SX6NBoVAgQJ6U1MVXOaj8PK2l7WJ3RER9xtqwdhxkhw/edit?usp=sharing"",""สระแก้ว!M305"")"),11350)</f>
        <v>11350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IFERROR(__xludf.DUMMYFUNCTION("IMPORTRANGE(""https://docs.google.com/spreadsheets/d/1SX6NBoVAgQJ6U1MVXOaj8PK2l7WJ3RER9xtqwdhxkhw/edit?usp=sharing"",""สระแก้ว!J307"")"),0)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IFERROR(__xludf.DUMMYFUNCTION("IMPORTRANGE(""https://docs.google.com/spreadsheets/d/1SX6NBoVAgQJ6U1MVXOaj8PK2l7WJ3RER9xtqwdhxkhw/edit?usp=sharing"",""สระแก้ว!J308"")"),1)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IFERROR(__xludf.DUMMYFUNCTION("IMPORTRANGE(""https://docs.google.com/spreadsheets/d/1SX6NBoVAgQJ6U1MVXOaj8PK2l7WJ3RER9xtqwdhxkhw/edit?usp=sharing"",""สระแก้ว!J309"")"),1)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IFERROR(__xludf.DUMMYFUNCTION("IMPORTRANGE(""https://docs.google.com/spreadsheets/d/1SX6NBoVAgQJ6U1MVXOaj8PK2l7WJ3RER9xtqwdhxkhw/edit?usp=sharing"",""สระแก้ว!J310"")"),1)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IFERROR(__xludf.DUMMYFUNCTION("IMPORTRANGE(""https://docs.google.com/spreadsheets/d/1SX6NBoVAgQJ6U1MVXOaj8PK2l7WJ3RER9xtqwdhxkhw/edit?usp=sharing"",""สระแก้ว!I311"")"),65)</f>
        <v>65</v>
      </c>
      <c r="J416" s="202">
        <f ca="1">IFERROR(__xludf.DUMMYFUNCTION("IMPORTRANGE(""https://docs.google.com/spreadsheets/d/1SX6NBoVAgQJ6U1MVXOaj8PK2l7WJ3RER9xtqwdhxkhw/edit?usp=sharing"",""สระแก้ว!J311"")"),65)</f>
        <v>65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IFERROR(__xludf.DUMMYFUNCTION("IMPORTRANGE(""https://docs.google.com/spreadsheets/d/1SX6NBoVAgQJ6U1MVXOaj8PK2l7WJ3RER9xtqwdhxkhw/edit?usp=sharing"",""สระแก้ว!J328"")"),0)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IFERROR(__xludf.DUMMYFUNCTION("IMPORTRANGE(""https://docs.google.com/spreadsheets/d/1SX6NBoVAgQJ6U1MVXOaj8PK2l7WJ3RER9xtqwdhxkhw/edit?usp=sharing"",""สระแก้ว!J329"")"),0)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IFERROR(__xludf.DUMMYFUNCTION("IMPORTRANGE(""https://docs.google.com/spreadsheets/d/1SX6NBoVAgQJ6U1MVXOaj8PK2l7WJ3RER9xtqwdhxkhw/edit?usp=sharing"",""สระแก้ว!M330"")"),43570)</f>
        <v>43570</v>
      </c>
      <c r="O435" s="412">
        <f t="shared" ref="O435:O439" ca="1" si="114">+IF(L435&gt;0,N435*100/L435,0)</f>
        <v>49.511363636363633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IFERROR(__xludf.DUMMYFUNCTION("IMPORTRANGE(""https://docs.google.com/spreadsheets/d/1SX6NBoVAgQJ6U1MVXOaj8PK2l7WJ3RER9xtqwdhxkhw/edit?usp=sharing"",""สระแก้ว!L331"")"),0)</f>
        <v>0</v>
      </c>
      <c r="M436" s="166"/>
      <c r="N436" s="170">
        <f ca="1">IFERROR(__xludf.DUMMYFUNCTION("IMPORTRANGE(""https://docs.google.com/spreadsheets/d/1SX6NBoVAgQJ6U1MVXOaj8PK2l7WJ3RER9xtqwdhxkhw/edit?usp=sharing"",""สระแก้ว!M331"")"),0)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IFERROR(__xludf.DUMMYFUNCTION("IMPORTRANGE(""https://docs.google.com/spreadsheets/d/1SX6NBoVAgQJ6U1MVXOaj8PK2l7WJ3RER9xtqwdhxkhw/edit?usp=sharing"",""สระแก้ว!L332"")"),88000)</f>
        <v>88000</v>
      </c>
      <c r="M437" s="167"/>
      <c r="N437" s="170">
        <f ca="1">IFERROR(__xludf.DUMMYFUNCTION("IMPORTRANGE(""https://docs.google.com/spreadsheets/d/1SX6NBoVAgQJ6U1MVXOaj8PK2l7WJ3RER9xtqwdhxkhw/edit?usp=sharing"",""สระแก้ว!M332"")"),43570)</f>
        <v>43570</v>
      </c>
      <c r="O437" s="170">
        <f t="shared" ca="1" si="114"/>
        <v>49.511363636363633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IFERROR(__xludf.DUMMYFUNCTION("IMPORTRANGE(""https://docs.google.com/spreadsheets/d/1SX6NBoVAgQJ6U1MVXOaj8PK2l7WJ3RER9xtqwdhxkhw/edit?usp=sharing"",""สระแก้ว!L333"")"),0)</f>
        <v>0</v>
      </c>
      <c r="M438" s="170"/>
      <c r="N438" s="170">
        <f ca="1">IFERROR(__xludf.DUMMYFUNCTION("IMPORTRANGE(""https://docs.google.com/spreadsheets/d/1SX6NBoVAgQJ6U1MVXOaj8PK2l7WJ3RER9xtqwdhxkhw/edit?usp=sharing"",""สระแก้ว!M333"")"),0)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IFERROR(__xludf.DUMMYFUNCTION("IMPORTRANGE(""https://docs.google.com/spreadsheets/d/1SX6NBoVAgQJ6U1MVXOaj8PK2l7WJ3RER9xtqwdhxkhw/edit?usp=sharing"",""สระแก้ว!L334"")"),88000)</f>
        <v>88000</v>
      </c>
      <c r="M439" s="170"/>
      <c r="N439" s="170">
        <f ca="1">IFERROR(__xludf.DUMMYFUNCTION("IMPORTRANGE(""https://docs.google.com/spreadsheets/d/1SX6NBoVAgQJ6U1MVXOaj8PK2l7WJ3RER9xtqwdhxkhw/edit?usp=sharing"",""สระแก้ว!M334"")"),43570)</f>
        <v>43570</v>
      </c>
      <c r="O439" s="170">
        <f t="shared" ca="1" si="114"/>
        <v>49.511363636363633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IFERROR(__xludf.DUMMYFUNCTION("IMPORTRANGE(""https://docs.google.com/spreadsheets/d/1SX6NBoVAgQJ6U1MVXOaj8PK2l7WJ3RER9xtqwdhxkhw/edit?usp=sharing"",""สระแก้ว!M335"")"),36040)</f>
        <v>36040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IFERROR(__xludf.DUMMYFUNCTION("IMPORTRANGE(""https://docs.google.com/spreadsheets/d/1SX6NBoVAgQJ6U1MVXOaj8PK2l7WJ3RER9xtqwdhxkhw/edit?usp=sharing"",""สระแก้ว!M338"")"),7530)</f>
        <v>7530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IFERROR(__xludf.DUMMYFUNCTION("IMPORTRANGE(""https://docs.google.com/spreadsheets/d/1SX6NBoVAgQJ6U1MVXOaj8PK2l7WJ3RER9xtqwdhxkhw/edit?usp=sharing"",""สระแก้ว!J342"")"),1)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IFERROR(__xludf.DUMMYFUNCTION("IMPORTRANGE(""https://docs.google.com/spreadsheets/d/1SX6NBoVAgQJ6U1MVXOaj8PK2l7WJ3RER9xtqwdhxkhw/edit?usp=sharing"",""สระแก้ว!J343"")"),1)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2">
        <f ca="1">IFERROR(__xludf.DUMMYFUNCTION("IMPORTRANGE(""https://docs.google.com/spreadsheets/d/1SX6NBoVAgQJ6U1MVXOaj8PK2l7WJ3RER9xtqwdhxkhw/edit?usp=sharing"",""สระแก้ว!J344"")"),15)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IFERROR(__xludf.DUMMYFUNCTION("IMPORTRANGE(""https://docs.google.com/spreadsheets/d/1SX6NBoVAgQJ6U1MVXOaj8PK2l7WJ3RER9xtqwdhxkhw/edit?usp=sharing"",""สระแก้ว!I345"")"),15)</f>
        <v>15</v>
      </c>
      <c r="J450" s="190">
        <f ca="1">IFERROR(__xludf.DUMMYFUNCTION("IMPORTRANGE(""https://docs.google.com/spreadsheets/d/1SX6NBoVAgQJ6U1MVXOaj8PK2l7WJ3RER9xtqwdhxkhw/edit?usp=sharing"",""สระแก้ว!J345"")"),15)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IFERROR(__xludf.DUMMYFUNCTION("IMPORTRANGE(""https://docs.google.com/spreadsheets/d/1SX6NBoVAgQJ6U1MVXOaj8PK2l7WJ3RER9xtqwdhxkhw/edit?usp=sharing"",""สระแก้ว!I346"")"),0)</f>
        <v>0</v>
      </c>
      <c r="J451" s="189">
        <f ca="1">IFERROR(__xludf.DUMMYFUNCTION("IMPORTRANGE(""https://docs.google.com/spreadsheets/d/1SX6NBoVAgQJ6U1MVXOaj8PK2l7WJ3RER9xtqwdhxkhw/edit?usp=sharing"",""สระแก้ว!J346"")"),0)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IFERROR(__xludf.DUMMYFUNCTION("IMPORTRANGE(""https://docs.google.com/spreadsheets/d/1SX6NBoVAgQJ6U1MVXOaj8PK2l7WJ3RER9xtqwdhxkhw/edit?usp=sharing"",""สระแก้ว!I347"")"),0)</f>
        <v>0</v>
      </c>
      <c r="J452" s="189">
        <f ca="1">IFERROR(__xludf.DUMMYFUNCTION("IMPORTRANGE(""https://docs.google.com/spreadsheets/d/1SX6NBoVAgQJ6U1MVXOaj8PK2l7WJ3RER9xtqwdhxkhw/edit?usp=sharing"",""สระแก้ว!J347"")"),0)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IFERROR(__xludf.DUMMYFUNCTION("IMPORTRANGE(""https://docs.google.com/spreadsheets/d/1SX6NBoVAgQJ6U1MVXOaj8PK2l7WJ3RER9xtqwdhxkhw/edit?usp=sharing"",""สระแก้ว!J348"")"),0)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IFERROR(__xludf.DUMMYFUNCTION("IMPORTRANGE(""https://docs.google.com/spreadsheets/d/1SX6NBoVAgQJ6U1MVXOaj8PK2l7WJ3RER9xtqwdhxkhw/edit?usp=sharing"",""สระแก้ว!J349"")"),0)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IFERROR(__xludf.DUMMYFUNCTION("IMPORTRANGE(""https://docs.google.com/spreadsheets/d/1SX6NBoVAgQJ6U1MVXOaj8PK2l7WJ3RER9xtqwdhxkhw/edit?usp=sharing"",""สระแก้ว!L350"")"),1071935)</f>
        <v>1071935</v>
      </c>
      <c r="M455" s="373"/>
      <c r="N455" s="373">
        <f ca="1">IFERROR(__xludf.DUMMYFUNCTION("IMPORTRANGE(""https://docs.google.com/spreadsheets/d/1SX6NBoVAgQJ6U1MVXOaj8PK2l7WJ3RER9xtqwdhxkhw/edit?usp=sharing"",""สระแก้ว!M350"")"),174622.58)</f>
        <v>174622.58</v>
      </c>
      <c r="O455" s="373">
        <f t="shared" ref="O455:O459" ca="1" si="116">+IF(L455&gt;0,N455*100/L455,0)</f>
        <v>16.290407534038909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IFERROR(__xludf.DUMMYFUNCTION("IMPORTRANGE(""https://docs.google.com/spreadsheets/d/1SX6NBoVAgQJ6U1MVXOaj8PK2l7WJ3RER9xtqwdhxkhw/edit?usp=sharing"",""สระแก้ว!L351"")"),0)</f>
        <v>0</v>
      </c>
      <c r="M456" s="166"/>
      <c r="N456" s="170">
        <f ca="1">IFERROR(__xludf.DUMMYFUNCTION("IMPORTRANGE(""https://docs.google.com/spreadsheets/d/1SX6NBoVAgQJ6U1MVXOaj8PK2l7WJ3RER9xtqwdhxkhw/edit?usp=sharing"",""สระแก้ว!M351"")"),0)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IFERROR(__xludf.DUMMYFUNCTION("IMPORTRANGE(""https://docs.google.com/spreadsheets/d/1SX6NBoVAgQJ6U1MVXOaj8PK2l7WJ3RER9xtqwdhxkhw/edit?usp=sharing"",""สระแก้ว!L352"")"),1071935)</f>
        <v>1071935</v>
      </c>
      <c r="M457" s="167"/>
      <c r="N457" s="170">
        <f ca="1">IFERROR(__xludf.DUMMYFUNCTION("IMPORTRANGE(""https://docs.google.com/spreadsheets/d/1SX6NBoVAgQJ6U1MVXOaj8PK2l7WJ3RER9xtqwdhxkhw/edit?usp=sharing"",""สระแก้ว!M352"")"),174622.58)</f>
        <v>174622.58</v>
      </c>
      <c r="O457" s="170">
        <f t="shared" ca="1" si="116"/>
        <v>16.290407534038909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IFERROR(__xludf.DUMMYFUNCTION("IMPORTRANGE(""https://docs.google.com/spreadsheets/d/1SX6NBoVAgQJ6U1MVXOaj8PK2l7WJ3RER9xtqwdhxkhw/edit?usp=sharing"",""สระแก้ว!L353"")"),0)</f>
        <v>0</v>
      </c>
      <c r="M458" s="170"/>
      <c r="N458" s="170">
        <f ca="1">IFERROR(__xludf.DUMMYFUNCTION("IMPORTRANGE(""https://docs.google.com/spreadsheets/d/1SX6NBoVAgQJ6U1MVXOaj8PK2l7WJ3RER9xtqwdhxkhw/edit?usp=sharing"",""สระแก้ว!M353"")"),0)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IFERROR(__xludf.DUMMYFUNCTION("IMPORTRANGE(""https://docs.google.com/spreadsheets/d/1SX6NBoVAgQJ6U1MVXOaj8PK2l7WJ3RER9xtqwdhxkhw/edit?usp=sharing"",""สระแก้ว!L354"")"),1071935)</f>
        <v>1071935</v>
      </c>
      <c r="M459" s="170"/>
      <c r="N459" s="170">
        <f ca="1">IFERROR(__xludf.DUMMYFUNCTION("IMPORTRANGE(""https://docs.google.com/spreadsheets/d/1SX6NBoVAgQJ6U1MVXOaj8PK2l7WJ3RER9xtqwdhxkhw/edit?usp=sharing"",""สระแก้ว!M354"")"),174622.58)</f>
        <v>174622.58</v>
      </c>
      <c r="O459" s="170">
        <f t="shared" ca="1" si="116"/>
        <v>16.290407534038909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IFERROR(__xludf.DUMMYFUNCTION("IMPORTRANGE(""https://docs.google.com/spreadsheets/d/1SX6NBoVAgQJ6U1MVXOaj8PK2l7WJ3RER9xtqwdhxkhw/edit?usp=sharing"",""สระแก้ว!M355"")"),0)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IFERROR(__xludf.DUMMYFUNCTION("IMPORTRANGE(""https://docs.google.com/spreadsheets/d/1SX6NBoVAgQJ6U1MVXOaj8PK2l7WJ3RER9xtqwdhxkhw/edit?usp=sharing"",""สระแก้ว!M356"")"),0)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IFERROR(__xludf.DUMMYFUNCTION("IMPORTRANGE(""https://docs.google.com/spreadsheets/d/1SX6NBoVAgQJ6U1MVXOaj8PK2l7WJ3RER9xtqwdhxkhw/edit?usp=sharing"",""สระแก้ว!M357"")"),53225.58)</f>
        <v>53225.58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IFERROR(__xludf.DUMMYFUNCTION("IMPORTRANGE(""https://docs.google.com/spreadsheets/d/1SX6NBoVAgQJ6U1MVXOaj8PK2l7WJ3RER9xtqwdhxkhw/edit?usp=sharing"",""สระแก้ว!M358"")"),121397)</f>
        <v>121397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IFERROR(__xludf.DUMMYFUNCTION("IMPORTRANGE(""https://docs.google.com/spreadsheets/d/1SX6NBoVAgQJ6U1MVXOaj8PK2l7WJ3RER9xtqwdhxkhw/edit?usp=sharing"",""สระแก้ว!J360"")"),60509)</f>
        <v>60509</v>
      </c>
      <c r="K465" s="203">
        <f t="shared" ca="1" si="117"/>
        <v>95.093586459430156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IFERROR(__xludf.DUMMYFUNCTION("IMPORTRANGE(""https://docs.google.com/spreadsheets/d/1SX6NBoVAgQJ6U1MVXOaj8PK2l7WJ3RER9xtqwdhxkhw/edit?usp=sharing"",""สระแก้ว!I362"")"),0)</f>
        <v>0</v>
      </c>
      <c r="J467" s="190">
        <f ca="1">IFERROR(__xludf.DUMMYFUNCTION("IMPORTRANGE(""https://docs.google.com/spreadsheets/d/1SX6NBoVAgQJ6U1MVXOaj8PK2l7WJ3RER9xtqwdhxkhw/edit?usp=sharing"",""สระแก้ว!J362"")"),44450)</f>
        <v>44450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IFERROR(__xludf.DUMMYFUNCTION("IMPORTRANGE(""https://docs.google.com/spreadsheets/d/1SX6NBoVAgQJ6U1MVXOaj8PK2l7WJ3RER9xtqwdhxkhw/edit?usp=sharing"",""สระแก้ว!I363"")"),0)</f>
        <v>0</v>
      </c>
      <c r="J468" s="190">
        <f ca="1">IFERROR(__xludf.DUMMYFUNCTION("IMPORTRANGE(""https://docs.google.com/spreadsheets/d/1SX6NBoVAgQJ6U1MVXOaj8PK2l7WJ3RER9xtqwdhxkhw/edit?usp=sharing"",""สระแก้ว!J363"")"),5852)</f>
        <v>5852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IFERROR(__xludf.DUMMYFUNCTION("IMPORTRANGE(""https://docs.google.com/spreadsheets/d/1SX6NBoVAgQJ6U1MVXOaj8PK2l7WJ3RER9xtqwdhxkhw/edit?usp=sharing"",""สระแก้ว!I364"")"),0)</f>
        <v>0</v>
      </c>
      <c r="J469" s="190">
        <f ca="1">IFERROR(__xludf.DUMMYFUNCTION("IMPORTRANGE(""https://docs.google.com/spreadsheets/d/1SX6NBoVAgQJ6U1MVXOaj8PK2l7WJ3RER9xtqwdhxkhw/edit?usp=sharing"",""สระแก้ว!J364"")"),13997)</f>
        <v>13997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IFERROR(__xludf.DUMMYFUNCTION("IMPORTRANGE(""https://docs.google.com/spreadsheets/d/1SX6NBoVAgQJ6U1MVXOaj8PK2l7WJ3RER9xtqwdhxkhw/edit?usp=sharing"",""สระแก้ว!I365"")"),0)</f>
        <v>0</v>
      </c>
      <c r="J470" s="190">
        <f ca="1">IFERROR(__xludf.DUMMYFUNCTION("IMPORTRANGE(""https://docs.google.com/spreadsheets/d/1SX6NBoVAgQJ6U1MVXOaj8PK2l7WJ3RER9xtqwdhxkhw/edit?usp=sharing"",""สระแก้ว!J365"")"),1110)</f>
        <v>1110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IFERROR(__xludf.DUMMYFUNCTION("IMPORTRANGE(""https://docs.google.com/spreadsheets/d/1SX6NBoVAgQJ6U1MVXOaj8PK2l7WJ3RER9xtqwdhxkhw/edit?usp=sharing"",""สระแก้ว!I366"")"),0)</f>
        <v>0</v>
      </c>
      <c r="J471" s="190">
        <f ca="1">IFERROR(__xludf.DUMMYFUNCTION("IMPORTRANGE(""https://docs.google.com/spreadsheets/d/1SX6NBoVAgQJ6U1MVXOaj8PK2l7WJ3RER9xtqwdhxkhw/edit?usp=sharing"",""สระแก้ว!J366"")"),2062)</f>
        <v>2062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IFERROR(__xludf.DUMMYFUNCTION("IMPORTRANGE(""https://docs.google.com/spreadsheets/d/1SX6NBoVAgQJ6U1MVXOaj8PK2l7WJ3RER9xtqwdhxkhw/edit?usp=sharing"",""สระแก้ว!I367"")"),0)</f>
        <v>0</v>
      </c>
      <c r="J472" s="190">
        <f ca="1">IFERROR(__xludf.DUMMYFUNCTION("IMPORTRANGE(""https://docs.google.com/spreadsheets/d/1SX6NBoVAgQJ6U1MVXOaj8PK2l7WJ3RER9xtqwdhxkhw/edit?usp=sharing"",""สระแก้ว!J367"")"),151)</f>
        <v>151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IFERROR(__xludf.DUMMYFUNCTION("IMPORTRANGE(""https://docs.google.com/spreadsheets/d/1SX6NBoVAgQJ6U1MVXOaj8PK2l7WJ3RER9xtqwdhxkhw/edit?usp=sharing"",""สระแก้ว!I370"")"),0)</f>
        <v>0</v>
      </c>
      <c r="J475" s="190">
        <f ca="1">IFERROR(__xludf.DUMMYFUNCTION("IMPORTRANGE(""https://docs.google.com/spreadsheets/d/1SX6NBoVAgQJ6U1MVXOaj8PK2l7WJ3RER9xtqwdhxkhw/edit?usp=sharing"",""สระแก้ว!J370"")"),0)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IFERROR(__xludf.DUMMYFUNCTION("IMPORTRANGE(""https://docs.google.com/spreadsheets/d/1SX6NBoVAgQJ6U1MVXOaj8PK2l7WJ3RER9xtqwdhxkhw/edit?usp=sharing"",""สระแก้ว!I371"")"),0)</f>
        <v>0</v>
      </c>
      <c r="J476" s="190">
        <f ca="1">IFERROR(__xludf.DUMMYFUNCTION("IMPORTRANGE(""https://docs.google.com/spreadsheets/d/1SX6NBoVAgQJ6U1MVXOaj8PK2l7WJ3RER9xtqwdhxkhw/edit?usp=sharing"",""สระแก้ว!J371"")"),0)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IFERROR(__xludf.DUMMYFUNCTION("IMPORTRANGE(""https://docs.google.com/spreadsheets/d/1SX6NBoVAgQJ6U1MVXOaj8PK2l7WJ3RER9xtqwdhxkhw/edit?usp=sharing"",""สระแก้ว!I372"")"),0)</f>
        <v>0</v>
      </c>
      <c r="J477" s="190">
        <f ca="1">IFERROR(__xludf.DUMMYFUNCTION("IMPORTRANGE(""https://docs.google.com/spreadsheets/d/1SX6NBoVAgQJ6U1MVXOaj8PK2l7WJ3RER9xtqwdhxkhw/edit?usp=sharing"",""สระแก้ว!J372"")"),0)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IFERROR(__xludf.DUMMYFUNCTION("IMPORTRANGE(""https://docs.google.com/spreadsheets/d/1SX6NBoVAgQJ6U1MVXOaj8PK2l7WJ3RER9xtqwdhxkhw/edit?usp=sharing"",""สระแก้ว!I373"")"),0)</f>
        <v>0</v>
      </c>
      <c r="J478" s="190">
        <f ca="1">IFERROR(__xludf.DUMMYFUNCTION("IMPORTRANGE(""https://docs.google.com/spreadsheets/d/1SX6NBoVAgQJ6U1MVXOaj8PK2l7WJ3RER9xtqwdhxkhw/edit?usp=sharing"",""สระแก้ว!J373"")"),0)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IFERROR(__xludf.DUMMYFUNCTION("IMPORTRANGE(""https://docs.google.com/spreadsheets/d/1SX6NBoVAgQJ6U1MVXOaj8PK2l7WJ3RER9xtqwdhxkhw/edit?usp=sharing"",""สระแก้ว!I374"")"),0)</f>
        <v>0</v>
      </c>
      <c r="J479" s="190">
        <f ca="1">IFERROR(__xludf.DUMMYFUNCTION("IMPORTRANGE(""https://docs.google.com/spreadsheets/d/1SX6NBoVAgQJ6U1MVXOaj8PK2l7WJ3RER9xtqwdhxkhw/edit?usp=sharing"",""สระแก้ว!J374"")"),0)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IFERROR(__xludf.DUMMYFUNCTION("IMPORTRANGE(""https://docs.google.com/spreadsheets/d/1SX6NBoVAgQJ6U1MVXOaj8PK2l7WJ3RER9xtqwdhxkhw/edit?usp=sharing"",""สระแก้ว!I375"")"),0)</f>
        <v>0</v>
      </c>
      <c r="J480" s="190">
        <f ca="1">IFERROR(__xludf.DUMMYFUNCTION("IMPORTRANGE(""https://docs.google.com/spreadsheets/d/1SX6NBoVAgQJ6U1MVXOaj8PK2l7WJ3RER9xtqwdhxkhw/edit?usp=sharing"",""สระแก้ว!J375"")"),0)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IFERROR(__xludf.DUMMYFUNCTION("IMPORTRANGE(""https://docs.google.com/spreadsheets/d/1SX6NBoVAgQJ6U1MVXOaj8PK2l7WJ3RER9xtqwdhxkhw/edit?usp=sharing"",""สระแก้ว!I378"")"),0)</f>
        <v>0</v>
      </c>
      <c r="J483" s="190">
        <f ca="1">IFERROR(__xludf.DUMMYFUNCTION("IMPORTRANGE(""https://docs.google.com/spreadsheets/d/1SX6NBoVAgQJ6U1MVXOaj8PK2l7WJ3RER9xtqwdhxkhw/edit?usp=sharing"",""สระแก้ว!J378"")"),0)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IFERROR(__xludf.DUMMYFUNCTION("IMPORTRANGE(""https://docs.google.com/spreadsheets/d/1SX6NBoVAgQJ6U1MVXOaj8PK2l7WJ3RER9xtqwdhxkhw/edit?usp=sharing"",""สระแก้ว!I379"")"),0)</f>
        <v>0</v>
      </c>
      <c r="J484" s="190">
        <f ca="1">IFERROR(__xludf.DUMMYFUNCTION("IMPORTRANGE(""https://docs.google.com/spreadsheets/d/1SX6NBoVAgQJ6U1MVXOaj8PK2l7WJ3RER9xtqwdhxkhw/edit?usp=sharing"",""สระแก้ว!J379"")"),0)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IFERROR(__xludf.DUMMYFUNCTION("IMPORTRANGE(""https://docs.google.com/spreadsheets/d/1SX6NBoVAgQJ6U1MVXOaj8PK2l7WJ3RER9xtqwdhxkhw/edit?usp=sharing"",""สระแก้ว!I380"")"),0)</f>
        <v>0</v>
      </c>
      <c r="J485" s="190">
        <f ca="1">IFERROR(__xludf.DUMMYFUNCTION("IMPORTRANGE(""https://docs.google.com/spreadsheets/d/1SX6NBoVAgQJ6U1MVXOaj8PK2l7WJ3RER9xtqwdhxkhw/edit?usp=sharing"",""สระแก้ว!J380"")"),0)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IFERROR(__xludf.DUMMYFUNCTION("IMPORTRANGE(""https://docs.google.com/spreadsheets/d/1SX6NBoVAgQJ6U1MVXOaj8PK2l7WJ3RER9xtqwdhxkhw/edit?usp=sharing"",""สระแก้ว!I381"")"),0)</f>
        <v>0</v>
      </c>
      <c r="J486" s="190">
        <f ca="1">IFERROR(__xludf.DUMMYFUNCTION("IMPORTRANGE(""https://docs.google.com/spreadsheets/d/1SX6NBoVAgQJ6U1MVXOaj8PK2l7WJ3RER9xtqwdhxkhw/edit?usp=sharing"",""สระแก้ว!J381"")"),0)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IFERROR(__xludf.DUMMYFUNCTION("IMPORTRANGE(""https://docs.google.com/spreadsheets/d/1SX6NBoVAgQJ6U1MVXOaj8PK2l7WJ3RER9xtqwdhxkhw/edit?usp=sharing"",""สระแก้ว!I384"")"),0)</f>
        <v>0</v>
      </c>
      <c r="J489" s="190">
        <f ca="1">IFERROR(__xludf.DUMMYFUNCTION("IMPORTRANGE(""https://docs.google.com/spreadsheets/d/1SX6NBoVAgQJ6U1MVXOaj8PK2l7WJ3RER9xtqwdhxkhw/edit?usp=sharing"",""สระแก้ว!J384"")"),0)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IFERROR(__xludf.DUMMYFUNCTION("IMPORTRANGE(""https://docs.google.com/spreadsheets/d/1SX6NBoVAgQJ6U1MVXOaj8PK2l7WJ3RER9xtqwdhxkhw/edit?usp=sharing"",""สระแก้ว!I385"")"),0)</f>
        <v>0</v>
      </c>
      <c r="J490" s="190">
        <f ca="1">IFERROR(__xludf.DUMMYFUNCTION("IMPORTRANGE(""https://docs.google.com/spreadsheets/d/1SX6NBoVAgQJ6U1MVXOaj8PK2l7WJ3RER9xtqwdhxkhw/edit?usp=sharing"",""สระแก้ว!J385"")"),0)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IFERROR(__xludf.DUMMYFUNCTION("IMPORTRANGE(""https://docs.google.com/spreadsheets/d/1SX6NBoVAgQJ6U1MVXOaj8PK2l7WJ3RER9xtqwdhxkhw/edit?usp=sharing"",""สระแก้ว!I386"")"),0)</f>
        <v>0</v>
      </c>
      <c r="J491" s="190">
        <f ca="1">IFERROR(__xludf.DUMMYFUNCTION("IMPORTRANGE(""https://docs.google.com/spreadsheets/d/1SX6NBoVAgQJ6U1MVXOaj8PK2l7WJ3RER9xtqwdhxkhw/edit?usp=sharing"",""สระแก้ว!J386"")"),0)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IFERROR(__xludf.DUMMYFUNCTION("IMPORTRANGE(""https://docs.google.com/spreadsheets/d/1SX6NBoVAgQJ6U1MVXOaj8PK2l7WJ3RER9xtqwdhxkhw/edit?usp=sharing"",""สระแก้ว!I387"")"),0)</f>
        <v>0</v>
      </c>
      <c r="J492" s="190">
        <f ca="1">IFERROR(__xludf.DUMMYFUNCTION("IMPORTRANGE(""https://docs.google.com/spreadsheets/d/1SX6NBoVAgQJ6U1MVXOaj8PK2l7WJ3RER9xtqwdhxkhw/edit?usp=sharing"",""สระแก้ว!J387"")"),0)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IFERROR(__xludf.DUMMYFUNCTION("IMPORTRANGE(""https://docs.google.com/spreadsheets/d/1SX6NBoVAgQJ6U1MVXOaj8PK2l7WJ3RER9xtqwdhxkhw/edit?usp=sharing"",""สระแก้ว!I388"")"),0)</f>
        <v>0</v>
      </c>
      <c r="J493" s="190">
        <f ca="1">IFERROR(__xludf.DUMMYFUNCTION("IMPORTRANGE(""https://docs.google.com/spreadsheets/d/1SX6NBoVAgQJ6U1MVXOaj8PK2l7WJ3RER9xtqwdhxkhw/edit?usp=sharing"",""สระแก้ว!J388"")"),0)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IFERROR(__xludf.DUMMYFUNCTION("IMPORTRANGE(""https://docs.google.com/spreadsheets/d/1SX6NBoVAgQJ6U1MVXOaj8PK2l7WJ3RER9xtqwdhxkhw/edit?usp=sharing"",""สระแก้ว!J392"")"),4603)</f>
        <v>4603</v>
      </c>
      <c r="K497" s="444">
        <f t="shared" ca="1" si="117"/>
        <v>20.57482567495083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IFERROR(__xludf.DUMMYFUNCTION("IMPORTRANGE(""https://docs.google.com/spreadsheets/d/1SX6NBoVAgQJ6U1MVXOaj8PK2l7WJ3RER9xtqwdhxkhw/edit?usp=sharing"",""สระแก้ว!J393"")"),4603)</f>
        <v>4603</v>
      </c>
      <c r="K498" s="165">
        <f t="shared" ca="1" si="117"/>
        <v>20.57482567495083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IFERROR(__xludf.DUMMYFUNCTION("IMPORTRANGE(""https://docs.google.com/spreadsheets/d/1SX6NBoVAgQJ6U1MVXOaj8PK2l7WJ3RER9xtqwdhxkhw/edit?usp=sharing"",""สระแก้ว!J394"")"),256)</f>
        <v>256</v>
      </c>
      <c r="K499" s="203">
        <f t="shared" ca="1" si="117"/>
        <v>18.311874105865524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IFERROR(__xludf.DUMMYFUNCTION("IMPORTRANGE(""https://docs.google.com/spreadsheets/d/1SX6NBoVAgQJ6U1MVXOaj8PK2l7WJ3RER9xtqwdhxkhw/edit?usp=sharing"",""สระแก้ว!I395"")"),0)</f>
        <v>0</v>
      </c>
      <c r="J500" s="164">
        <f ca="1">IFERROR(__xludf.DUMMYFUNCTION("IMPORTRANGE(""https://docs.google.com/spreadsheets/d/1SX6NBoVAgQJ6U1MVXOaj8PK2l7WJ3RER9xtqwdhxkhw/edit?usp=sharing"",""สระแก้ว!J395"")"),4421)</f>
        <v>4421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IFERROR(__xludf.DUMMYFUNCTION("IMPORTRANGE(""https://docs.google.com/spreadsheets/d/1SX6NBoVAgQJ6U1MVXOaj8PK2l7WJ3RER9xtqwdhxkhw/edit?usp=sharing"",""สระแก้ว!I396"")"),0)</f>
        <v>0</v>
      </c>
      <c r="J501" s="164">
        <f ca="1">IFERROR(__xludf.DUMMYFUNCTION("IMPORTRANGE(""https://docs.google.com/spreadsheets/d/1SX6NBoVAgQJ6U1MVXOaj8PK2l7WJ3RER9xtqwdhxkhw/edit?usp=sharing"",""สระแก้ว!J396"")"),247)</f>
        <v>247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IFERROR(__xludf.DUMMYFUNCTION("IMPORTRANGE(""https://docs.google.com/spreadsheets/d/1SX6NBoVAgQJ6U1MVXOaj8PK2l7WJ3RER9xtqwdhxkhw/edit?usp=sharing"",""สระแก้ว!I397"")"),0)</f>
        <v>0</v>
      </c>
      <c r="J502" s="190">
        <f ca="1">IFERROR(__xludf.DUMMYFUNCTION("IMPORTRANGE(""https://docs.google.com/spreadsheets/d/1SX6NBoVAgQJ6U1MVXOaj8PK2l7WJ3RER9xtqwdhxkhw/edit?usp=sharing"",""สระแก้ว!J397"")"),4416)</f>
        <v>4416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IFERROR(__xludf.DUMMYFUNCTION("IMPORTRANGE(""https://docs.google.com/spreadsheets/d/1SX6NBoVAgQJ6U1MVXOaj8PK2l7WJ3RER9xtqwdhxkhw/edit?usp=sharing"",""สระแก้ว!I398"")"),0)</f>
        <v>0</v>
      </c>
      <c r="J503" s="199">
        <f ca="1">IFERROR(__xludf.DUMMYFUNCTION("IMPORTRANGE(""https://docs.google.com/spreadsheets/d/1SX6NBoVAgQJ6U1MVXOaj8PK2l7WJ3RER9xtqwdhxkhw/edit?usp=sharing"",""สระแก้ว!J398"")"),246)</f>
        <v>246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IFERROR(__xludf.DUMMYFUNCTION("IMPORTRANGE(""https://docs.google.com/spreadsheets/d/1SX6NBoVAgQJ6U1MVXOaj8PK2l7WJ3RER9xtqwdhxkhw/edit?usp=sharing"",""สระแก้ว!I399"")"),0)</f>
        <v>0</v>
      </c>
      <c r="J504" s="190">
        <f ca="1">IFERROR(__xludf.DUMMYFUNCTION("IMPORTRANGE(""https://docs.google.com/spreadsheets/d/1SX6NBoVAgQJ6U1MVXOaj8PK2l7WJ3RER9xtqwdhxkhw/edit?usp=sharing"",""สระแก้ว!J399"")"),5)</f>
        <v>5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IFERROR(__xludf.DUMMYFUNCTION("IMPORTRANGE(""https://docs.google.com/spreadsheets/d/1SX6NBoVAgQJ6U1MVXOaj8PK2l7WJ3RER9xtqwdhxkhw/edit?usp=sharing"",""สระแก้ว!I400"")"),0)</f>
        <v>0</v>
      </c>
      <c r="J505" s="199">
        <f ca="1">IFERROR(__xludf.DUMMYFUNCTION("IMPORTRANGE(""https://docs.google.com/spreadsheets/d/1SX6NBoVAgQJ6U1MVXOaj8PK2l7WJ3RER9xtqwdhxkhw/edit?usp=sharing"",""สระแก้ว!J400"")"),1)</f>
        <v>1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IFERROR(__xludf.DUMMYFUNCTION("IMPORTRANGE(""https://docs.google.com/spreadsheets/d/1SX6NBoVAgQJ6U1MVXOaj8PK2l7WJ3RER9xtqwdhxkhw/edit?usp=sharing"",""สระแก้ว!I401"")"),0)</f>
        <v>0</v>
      </c>
      <c r="J506" s="190">
        <f ca="1">IFERROR(__xludf.DUMMYFUNCTION("IMPORTRANGE(""https://docs.google.com/spreadsheets/d/1SX6NBoVAgQJ6U1MVXOaj8PK2l7WJ3RER9xtqwdhxkhw/edit?usp=sharing"",""สระแก้ว!J401"")"),0)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IFERROR(__xludf.DUMMYFUNCTION("IMPORTRANGE(""https://docs.google.com/spreadsheets/d/1SX6NBoVAgQJ6U1MVXOaj8PK2l7WJ3RER9xtqwdhxkhw/edit?usp=sharing"",""สระแก้ว!I402"")"),0)</f>
        <v>0</v>
      </c>
      <c r="J507" s="199">
        <f ca="1">IFERROR(__xludf.DUMMYFUNCTION("IMPORTRANGE(""https://docs.google.com/spreadsheets/d/1SX6NBoVAgQJ6U1MVXOaj8PK2l7WJ3RER9xtqwdhxkhw/edit?usp=sharing"",""สระแก้ว!J402"")"),0)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IFERROR(__xludf.DUMMYFUNCTION("IMPORTRANGE(""https://docs.google.com/spreadsheets/d/1SX6NBoVAgQJ6U1MVXOaj8PK2l7WJ3RER9xtqwdhxkhw/edit?usp=sharing"",""สระแก้ว!I403"")"),0)</f>
        <v>0</v>
      </c>
      <c r="J508" s="164">
        <f ca="1">IFERROR(__xludf.DUMMYFUNCTION("IMPORTRANGE(""https://docs.google.com/spreadsheets/d/1SX6NBoVAgQJ6U1MVXOaj8PK2l7WJ3RER9xtqwdhxkhw/edit?usp=sharing"",""สระแก้ว!J403"")"),182)</f>
        <v>182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IFERROR(__xludf.DUMMYFUNCTION("IMPORTRANGE(""https://docs.google.com/spreadsheets/d/1SX6NBoVAgQJ6U1MVXOaj8PK2l7WJ3RER9xtqwdhxkhw/edit?usp=sharing"",""สระแก้ว!I404"")"),0)</f>
        <v>0</v>
      </c>
      <c r="J509" s="164">
        <f ca="1">IFERROR(__xludf.DUMMYFUNCTION("IMPORTRANGE(""https://docs.google.com/spreadsheets/d/1SX6NBoVAgQJ6U1MVXOaj8PK2l7WJ3RER9xtqwdhxkhw/edit?usp=sharing"",""สระแก้ว!J404"")"),9)</f>
        <v>9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IFERROR(__xludf.DUMMYFUNCTION("IMPORTRANGE(""https://docs.google.com/spreadsheets/d/1SX6NBoVAgQJ6U1MVXOaj8PK2l7WJ3RER9xtqwdhxkhw/edit?usp=sharing"",""สระแก้ว!I405"")"),0)</f>
        <v>0</v>
      </c>
      <c r="J510" s="199">
        <f ca="1">IFERROR(__xludf.DUMMYFUNCTION("IMPORTRANGE(""https://docs.google.com/spreadsheets/d/1SX6NBoVAgQJ6U1MVXOaj8PK2l7WJ3RER9xtqwdhxkhw/edit?usp=sharing"",""สระแก้ว!J405"")"),182)</f>
        <v>182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IFERROR(__xludf.DUMMYFUNCTION("IMPORTRANGE(""https://docs.google.com/spreadsheets/d/1SX6NBoVAgQJ6U1MVXOaj8PK2l7WJ3RER9xtqwdhxkhw/edit?usp=sharing"",""สระแก้ว!I406"")"),0)</f>
        <v>0</v>
      </c>
      <c r="J511" s="199">
        <f ca="1">IFERROR(__xludf.DUMMYFUNCTION("IMPORTRANGE(""https://docs.google.com/spreadsheets/d/1SX6NBoVAgQJ6U1MVXOaj8PK2l7WJ3RER9xtqwdhxkhw/edit?usp=sharing"",""สระแก้ว!J406"")"),9)</f>
        <v>9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IFERROR(__xludf.DUMMYFUNCTION("IMPORTRANGE(""https://docs.google.com/spreadsheets/d/1SX6NBoVAgQJ6U1MVXOaj8PK2l7WJ3RER9xtqwdhxkhw/edit?usp=sharing"",""สระแก้ว!I407"")"),0)</f>
        <v>0</v>
      </c>
      <c r="J512" s="199">
        <f ca="1">IFERROR(__xludf.DUMMYFUNCTION("IMPORTRANGE(""https://docs.google.com/spreadsheets/d/1SX6NBoVAgQJ6U1MVXOaj8PK2l7WJ3RER9xtqwdhxkhw/edit?usp=sharing"",""สระแก้ว!J407"")"),0)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IFERROR(__xludf.DUMMYFUNCTION("IMPORTRANGE(""https://docs.google.com/spreadsheets/d/1SX6NBoVAgQJ6U1MVXOaj8PK2l7WJ3RER9xtqwdhxkhw/edit?usp=sharing"",""สระแก้ว!I408"")"),0)</f>
        <v>0</v>
      </c>
      <c r="J513" s="199">
        <f ca="1">IFERROR(__xludf.DUMMYFUNCTION("IMPORTRANGE(""https://docs.google.com/spreadsheets/d/1SX6NBoVAgQJ6U1MVXOaj8PK2l7WJ3RER9xtqwdhxkhw/edit?usp=sharing"",""สระแก้ว!J408"")"),0)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IFERROR(__xludf.DUMMYFUNCTION("IMPORTRANGE(""https://docs.google.com/spreadsheets/d/1SX6NBoVAgQJ6U1MVXOaj8PK2l7WJ3RER9xtqwdhxkhw/edit?usp=sharing"",""สระแก้ว!I409"")"),0)</f>
        <v>0</v>
      </c>
      <c r="J514" s="199">
        <f ca="1">IFERROR(__xludf.DUMMYFUNCTION("IMPORTRANGE(""https://docs.google.com/spreadsheets/d/1SX6NBoVAgQJ6U1MVXOaj8PK2l7WJ3RER9xtqwdhxkhw/edit?usp=sharing"",""สระแก้ว!J409"")"),0)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IFERROR(__xludf.DUMMYFUNCTION("IMPORTRANGE(""https://docs.google.com/spreadsheets/d/1SX6NBoVAgQJ6U1MVXOaj8PK2l7WJ3RER9xtqwdhxkhw/edit?usp=sharing"",""สระแก้ว!I410"")"),0)</f>
        <v>0</v>
      </c>
      <c r="J515" s="199">
        <f ca="1">IFERROR(__xludf.DUMMYFUNCTION("IMPORTRANGE(""https://docs.google.com/spreadsheets/d/1SX6NBoVAgQJ6U1MVXOaj8PK2l7WJ3RER9xtqwdhxkhw/edit?usp=sharing"",""สระแก้ว!J410"")"),0)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IFERROR(__xludf.DUMMYFUNCTION("IMPORTRANGE(""https://docs.google.com/spreadsheets/d/1SX6NBoVAgQJ6U1MVXOaj8PK2l7WJ3RER9xtqwdhxkhw/edit?usp=sharing"",""สระแก้ว!I412"")"),0)</f>
        <v>0</v>
      </c>
      <c r="J517" s="284">
        <f ca="1">IFERROR(__xludf.DUMMYFUNCTION("IMPORTRANGE(""https://docs.google.com/spreadsheets/d/1SX6NBoVAgQJ6U1MVXOaj8PK2l7WJ3RER9xtqwdhxkhw/edit?usp=sharing"",""สระแก้ว!J412"")"),0)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IFERROR(__xludf.DUMMYFUNCTION("IMPORTRANGE(""https://docs.google.com/spreadsheets/d/1SX6NBoVAgQJ6U1MVXOaj8PK2l7WJ3RER9xtqwdhxkhw/edit?usp=sharing"",""สระแก้ว!I413"")"),0)</f>
        <v>0</v>
      </c>
      <c r="J518" s="284">
        <f ca="1">IFERROR(__xludf.DUMMYFUNCTION("IMPORTRANGE(""https://docs.google.com/spreadsheets/d/1SX6NBoVAgQJ6U1MVXOaj8PK2l7WJ3RER9xtqwdhxkhw/edit?usp=sharing"",""สระแก้ว!J413"")"),0)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IFERROR(__xludf.DUMMYFUNCTION("IMPORTRANGE(""https://docs.google.com/spreadsheets/d/1SX6NBoVAgQJ6U1MVXOaj8PK2l7WJ3RER9xtqwdhxkhw/edit?usp=sharing"",""สระแก้ว!I414"")"),0)</f>
        <v>0</v>
      </c>
      <c r="J519" s="189">
        <f ca="1">IFERROR(__xludf.DUMMYFUNCTION("IMPORTRANGE(""https://docs.google.com/spreadsheets/d/1SX6NBoVAgQJ6U1MVXOaj8PK2l7WJ3RER9xtqwdhxkhw/edit?usp=sharing"",""สระแก้ว!J414"")"),0)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IFERROR(__xludf.DUMMYFUNCTION("IMPORTRANGE(""https://docs.google.com/spreadsheets/d/1SX6NBoVAgQJ6U1MVXOaj8PK2l7WJ3RER9xtqwdhxkhw/edit?usp=sharing"",""สระแก้ว!I415"")"),0)</f>
        <v>0</v>
      </c>
      <c r="J520" s="189">
        <f ca="1">IFERROR(__xludf.DUMMYFUNCTION("IMPORTRANGE(""https://docs.google.com/spreadsheets/d/1SX6NBoVAgQJ6U1MVXOaj8PK2l7WJ3RER9xtqwdhxkhw/edit?usp=sharing"",""สระแก้ว!J415"")"),0)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IFERROR(__xludf.DUMMYFUNCTION("IMPORTRANGE(""https://docs.google.com/spreadsheets/d/1SX6NBoVAgQJ6U1MVXOaj8PK2l7WJ3RER9xtqwdhxkhw/edit?usp=sharing"",""สระแก้ว!I416"")"),0)</f>
        <v>0</v>
      </c>
      <c r="J521" s="189">
        <f ca="1">IFERROR(__xludf.DUMMYFUNCTION("IMPORTRANGE(""https://docs.google.com/spreadsheets/d/1SX6NBoVAgQJ6U1MVXOaj8PK2l7WJ3RER9xtqwdhxkhw/edit?usp=sharing"",""สระแก้ว!J416"")"),0)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IFERROR(__xludf.DUMMYFUNCTION("IMPORTRANGE(""https://docs.google.com/spreadsheets/d/1SX6NBoVAgQJ6U1MVXOaj8PK2l7WJ3RER9xtqwdhxkhw/edit?usp=sharing"",""สระแก้ว!I417"")"),0)</f>
        <v>0</v>
      </c>
      <c r="J522" s="189">
        <f ca="1">IFERROR(__xludf.DUMMYFUNCTION("IMPORTRANGE(""https://docs.google.com/spreadsheets/d/1SX6NBoVAgQJ6U1MVXOaj8PK2l7WJ3RER9xtqwdhxkhw/edit?usp=sharing"",""สระแก้ว!J417"")"),0)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IFERROR(__xludf.DUMMYFUNCTION("IMPORTRANGE(""https://docs.google.com/spreadsheets/d/1SX6NBoVAgQJ6U1MVXOaj8PK2l7WJ3RER9xtqwdhxkhw/edit?usp=sharing"",""สระแก้ว!I418"")"),0)</f>
        <v>0</v>
      </c>
      <c r="J523" s="189">
        <f ca="1">IFERROR(__xludf.DUMMYFUNCTION("IMPORTRANGE(""https://docs.google.com/spreadsheets/d/1SX6NBoVAgQJ6U1MVXOaj8PK2l7WJ3RER9xtqwdhxkhw/edit?usp=sharing"",""สระแก้ว!J418"")"),0)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IFERROR(__xludf.DUMMYFUNCTION("IMPORTRANGE(""https://docs.google.com/spreadsheets/d/1SX6NBoVAgQJ6U1MVXOaj8PK2l7WJ3RER9xtqwdhxkhw/edit?usp=sharing"",""สระแก้ว!I419"")"),0)</f>
        <v>0</v>
      </c>
      <c r="J524" s="189">
        <f ca="1">IFERROR(__xludf.DUMMYFUNCTION("IMPORTRANGE(""https://docs.google.com/spreadsheets/d/1SX6NBoVAgQJ6U1MVXOaj8PK2l7WJ3RER9xtqwdhxkhw/edit?usp=sharing"",""สระแก้ว!J419"")"),0)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IFERROR(__xludf.DUMMYFUNCTION("IMPORTRANGE(""https://docs.google.com/spreadsheets/d/1SX6NBoVAgQJ6U1MVXOaj8PK2l7WJ3RER9xtqwdhxkhw/edit?usp=sharing"",""สระแก้ว!I420"")"),0)</f>
        <v>0</v>
      </c>
      <c r="J525" s="284">
        <f ca="1">IFERROR(__xludf.DUMMYFUNCTION("IMPORTRANGE(""https://docs.google.com/spreadsheets/d/1SX6NBoVAgQJ6U1MVXOaj8PK2l7WJ3RER9xtqwdhxkhw/edit?usp=sharing"",""สระแก้ว!J420"")"),0)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IFERROR(__xludf.DUMMYFUNCTION("IMPORTRANGE(""https://docs.google.com/spreadsheets/d/1SX6NBoVAgQJ6U1MVXOaj8PK2l7WJ3RER9xtqwdhxkhw/edit?usp=sharing"",""สระแก้ว!I421"")"),0)</f>
        <v>0</v>
      </c>
      <c r="J526" s="284">
        <f ca="1">IFERROR(__xludf.DUMMYFUNCTION("IMPORTRANGE(""https://docs.google.com/spreadsheets/d/1SX6NBoVAgQJ6U1MVXOaj8PK2l7WJ3RER9xtqwdhxkhw/edit?usp=sharing"",""สระแก้ว!J421"")"),0)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IFERROR(__xludf.DUMMYFUNCTION("IMPORTRANGE(""https://docs.google.com/spreadsheets/d/1SX6NBoVAgQJ6U1MVXOaj8PK2l7WJ3RER9xtqwdhxkhw/edit?usp=sharing"",""สระแก้ว!I422"")"),0)</f>
        <v>0</v>
      </c>
      <c r="J527" s="199">
        <f ca="1">IFERROR(__xludf.DUMMYFUNCTION("IMPORTRANGE(""https://docs.google.com/spreadsheets/d/1SX6NBoVAgQJ6U1MVXOaj8PK2l7WJ3RER9xtqwdhxkhw/edit?usp=sharing"",""สระแก้ว!J422"")"),0)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IFERROR(__xludf.DUMMYFUNCTION("IMPORTRANGE(""https://docs.google.com/spreadsheets/d/1SX6NBoVAgQJ6U1MVXOaj8PK2l7WJ3RER9xtqwdhxkhw/edit?usp=sharing"",""สระแก้ว!I423"")"),0)</f>
        <v>0</v>
      </c>
      <c r="J528" s="199">
        <f ca="1">IFERROR(__xludf.DUMMYFUNCTION("IMPORTRANGE(""https://docs.google.com/spreadsheets/d/1SX6NBoVAgQJ6U1MVXOaj8PK2l7WJ3RER9xtqwdhxkhw/edit?usp=sharing"",""สระแก้ว!J423"")"),0)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IFERROR(__xludf.DUMMYFUNCTION("IMPORTRANGE(""https://docs.google.com/spreadsheets/d/1SX6NBoVAgQJ6U1MVXOaj8PK2l7WJ3RER9xtqwdhxkhw/edit?usp=sharing"",""สระแก้ว!I424"")"),0)</f>
        <v>0</v>
      </c>
      <c r="J529" s="199">
        <f ca="1">IFERROR(__xludf.DUMMYFUNCTION("IMPORTRANGE(""https://docs.google.com/spreadsheets/d/1SX6NBoVAgQJ6U1MVXOaj8PK2l7WJ3RER9xtqwdhxkhw/edit?usp=sharing"",""สระแก้ว!J424"")"),0)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IFERROR(__xludf.DUMMYFUNCTION("IMPORTRANGE(""https://docs.google.com/spreadsheets/d/1SX6NBoVAgQJ6U1MVXOaj8PK2l7WJ3RER9xtqwdhxkhw/edit?usp=sharing"",""สระแก้ว!I425"")"),0)</f>
        <v>0</v>
      </c>
      <c r="J530" s="199">
        <f ca="1">IFERROR(__xludf.DUMMYFUNCTION("IMPORTRANGE(""https://docs.google.com/spreadsheets/d/1SX6NBoVAgQJ6U1MVXOaj8PK2l7WJ3RER9xtqwdhxkhw/edit?usp=sharing"",""สระแก้ว!J425"")"),0)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IFERROR(__xludf.DUMMYFUNCTION("IMPORTRANGE(""https://docs.google.com/spreadsheets/d/1SX6NBoVAgQJ6U1MVXOaj8PK2l7WJ3RER9xtqwdhxkhw/edit?usp=sharing"",""สระแก้ว!I426"")"),0)</f>
        <v>0</v>
      </c>
      <c r="J531" s="199">
        <f ca="1">IFERROR(__xludf.DUMMYFUNCTION("IMPORTRANGE(""https://docs.google.com/spreadsheets/d/1SX6NBoVAgQJ6U1MVXOaj8PK2l7WJ3RER9xtqwdhxkhw/edit?usp=sharing"",""สระแก้ว!J426"")"),0)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IFERROR(__xludf.DUMMYFUNCTION("IMPORTRANGE(""https://docs.google.com/spreadsheets/d/1SX6NBoVAgQJ6U1MVXOaj8PK2l7WJ3RER9xtqwdhxkhw/edit?usp=sharing"",""สระแก้ว!M428"")"),27225)</f>
        <v>27225</v>
      </c>
      <c r="O533" s="412">
        <f t="shared" ref="O533:O537" ca="1" si="118">+IF(L533&gt;0,N533*100/L533,0)</f>
        <v>79.28072218986604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IFERROR(__xludf.DUMMYFUNCTION("IMPORTRANGE(""https://docs.google.com/spreadsheets/d/1SX6NBoVAgQJ6U1MVXOaj8PK2l7WJ3RER9xtqwdhxkhw/edit?usp=sharing"",""สระแก้ว!L429"")"),0)</f>
        <v>0</v>
      </c>
      <c r="M534" s="166"/>
      <c r="N534" s="170">
        <f ca="1">IFERROR(__xludf.DUMMYFUNCTION("IMPORTRANGE(""https://docs.google.com/spreadsheets/d/1SX6NBoVAgQJ6U1MVXOaj8PK2l7WJ3RER9xtqwdhxkhw/edit?usp=sharing"",""สระแก้ว!M429"")"),0)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IFERROR(__xludf.DUMMYFUNCTION("IMPORTRANGE(""https://docs.google.com/spreadsheets/d/1SX6NBoVAgQJ6U1MVXOaj8PK2l7WJ3RER9xtqwdhxkhw/edit?usp=sharing"",""สระแก้ว!L430"")"),34340)</f>
        <v>34340</v>
      </c>
      <c r="M535" s="167"/>
      <c r="N535" s="170">
        <f ca="1">IFERROR(__xludf.DUMMYFUNCTION("IMPORTRANGE(""https://docs.google.com/spreadsheets/d/1SX6NBoVAgQJ6U1MVXOaj8PK2l7WJ3RER9xtqwdhxkhw/edit?usp=sharing"",""สระแก้ว!M430"")"),27225)</f>
        <v>27225</v>
      </c>
      <c r="O535" s="170">
        <f t="shared" ca="1" si="118"/>
        <v>79.28072218986604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IFERROR(__xludf.DUMMYFUNCTION("IMPORTRANGE(""https://docs.google.com/spreadsheets/d/1SX6NBoVAgQJ6U1MVXOaj8PK2l7WJ3RER9xtqwdhxkhw/edit?usp=sharing"",""สระแก้ว!L431"")"),0)</f>
        <v>0</v>
      </c>
      <c r="M536" s="170"/>
      <c r="N536" s="170">
        <f ca="1">IFERROR(__xludf.DUMMYFUNCTION("IMPORTRANGE(""https://docs.google.com/spreadsheets/d/1SX6NBoVAgQJ6U1MVXOaj8PK2l7WJ3RER9xtqwdhxkhw/edit?usp=sharing"",""สระแก้ว!M431"")"),0)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IFERROR(__xludf.DUMMYFUNCTION("IMPORTRANGE(""https://docs.google.com/spreadsheets/d/1SX6NBoVAgQJ6U1MVXOaj8PK2l7WJ3RER9xtqwdhxkhw/edit?usp=sharing"",""สระแก้ว!L432"")"),34340)</f>
        <v>34340</v>
      </c>
      <c r="M537" s="170"/>
      <c r="N537" s="170">
        <f ca="1">IFERROR(__xludf.DUMMYFUNCTION("IMPORTRANGE(""https://docs.google.com/spreadsheets/d/1SX6NBoVAgQJ6U1MVXOaj8PK2l7WJ3RER9xtqwdhxkhw/edit?usp=sharing"",""สระแก้ว!M432"")"),27225)</f>
        <v>27225</v>
      </c>
      <c r="O537" s="170">
        <f t="shared" ca="1" si="118"/>
        <v>79.28072218986604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IFERROR(__xludf.DUMMYFUNCTION("IMPORTRANGE(""https://docs.google.com/spreadsheets/d/1SX6NBoVAgQJ6U1MVXOaj8PK2l7WJ3RER9xtqwdhxkhw/edit?usp=sharing"",""สระแก้ว!M433"")"),17685)</f>
        <v>17685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IFERROR(__xludf.DUMMYFUNCTION("IMPORTRANGE(""https://docs.google.com/spreadsheets/d/1SX6NBoVAgQJ6U1MVXOaj8PK2l7WJ3RER9xtqwdhxkhw/edit?usp=sharing"",""สระแก้ว!M436"")"),9540)</f>
        <v>9540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IFERROR(__xludf.DUMMYFUNCTION("IMPORTRANGE(""https://docs.google.com/spreadsheets/d/1SX6NBoVAgQJ6U1MVXOaj8PK2l7WJ3RER9xtqwdhxkhw/edit?usp=sharing"",""สระแก้ว!J438"")"),0)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IFERROR(__xludf.DUMMYFUNCTION("IMPORTRANGE(""https://docs.google.com/spreadsheets/d/1SX6NBoVAgQJ6U1MVXOaj8PK2l7WJ3RER9xtqwdhxkhw/edit?usp=sharing"",""สระแก้ว!J439"")"),1)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IFERROR(__xludf.DUMMYFUNCTION("IMPORTRANGE(""https://docs.google.com/spreadsheets/d/1SX6NBoVAgQJ6U1MVXOaj8PK2l7WJ3RER9xtqwdhxkhw/edit?usp=sharing"",""สระแก้ว!J440"")"),1)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IFERROR(__xludf.DUMMYFUNCTION("IMPORTRANGE(""https://docs.google.com/spreadsheets/d/1SX6NBoVAgQJ6U1MVXOaj8PK2l7WJ3RER9xtqwdhxkhw/edit?usp=sharing"",""สระแก้ว!J441"")"),1)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IFERROR(__xludf.DUMMYFUNCTION("IMPORTRANGE(""https://docs.google.com/spreadsheets/d/1SX6NBoVAgQJ6U1MVXOaj8PK2l7WJ3RER9xtqwdhxkhw/edit?usp=sharing"",""สระแก้ว!I442"")"),22)</f>
        <v>22</v>
      </c>
      <c r="J547" s="190">
        <f ca="1">IFERROR(__xludf.DUMMYFUNCTION("IMPORTRANGE(""https://docs.google.com/spreadsheets/d/1SX6NBoVAgQJ6U1MVXOaj8PK2l7WJ3RER9xtqwdhxkhw/edit?usp=sharing"",""สระแก้ว!J442"")"),22)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IFERROR(__xludf.DUMMYFUNCTION("IMPORTRANGE(""https://docs.google.com/spreadsheets/d/1SX6NBoVAgQJ6U1MVXOaj8PK2l7WJ3RER9xtqwdhxkhw/edit?usp=sharing"",""สระแก้ว!J166"")"),0)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IFERROR(__xludf.DUMMYFUNCTION("IMPORTRANGE(""https://docs.google.com/spreadsheets/d/1SX6NBoVAgQJ6U1MVXOaj8PK2l7WJ3RER9xtqwdhxkhw/edit?usp=sharing"",""สระแก้ว!J444"")"),0)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IFERROR(__xludf.DUMMYFUNCTION("IMPORTRANGE(""https://docs.google.com/spreadsheets/d/1SX6NBoVAgQJ6U1MVXOaj8PK2l7WJ3RER9xtqwdhxkhw/edit?usp=sharing"",""สระแก้ว!L447"")"),0)</f>
        <v>0</v>
      </c>
      <c r="M552" s="166"/>
      <c r="N552" s="170">
        <f ca="1">IFERROR(__xludf.DUMMYFUNCTION("IMPORTRANGE(""https://docs.google.com/spreadsheets/d/1SX6NBoVAgQJ6U1MVXOaj8PK2l7WJ3RER9xtqwdhxkhw/edit?usp=sharing"",""สระแก้ว!M447"")"),0)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IFERROR(__xludf.DUMMYFUNCTION("IMPORTRANGE(""https://docs.google.com/spreadsheets/d/1SX6NBoVAgQJ6U1MVXOaj8PK2l7WJ3RER9xtqwdhxkhw/edit?usp=sharing"",""สระแก้ว!L448"")"),0)</f>
        <v>0</v>
      </c>
      <c r="M553" s="167"/>
      <c r="N553" s="170">
        <f ca="1">IFERROR(__xludf.DUMMYFUNCTION("IMPORTRANGE(""https://docs.google.com/spreadsheets/d/1SX6NBoVAgQJ6U1MVXOaj8PK2l7WJ3RER9xtqwdhxkhw/edit?usp=sharing"",""สระแก้ว!M448"")"),0)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IFERROR(__xludf.DUMMYFUNCTION("IMPORTRANGE(""https://docs.google.com/spreadsheets/d/1SX6NBoVAgQJ6U1MVXOaj8PK2l7WJ3RER9xtqwdhxkhw/edit?usp=sharing"",""สระแก้ว!L449"")"),0)</f>
        <v>0</v>
      </c>
      <c r="M554" s="170"/>
      <c r="N554" s="170">
        <f ca="1">IFERROR(__xludf.DUMMYFUNCTION("IMPORTRANGE(""https://docs.google.com/spreadsheets/d/1SX6NBoVAgQJ6U1MVXOaj8PK2l7WJ3RER9xtqwdhxkhw/edit?usp=sharing"",""สระแก้ว!M449"")"),0)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IFERROR(__xludf.DUMMYFUNCTION("IMPORTRANGE(""https://docs.google.com/spreadsheets/d/1SX6NBoVAgQJ6U1MVXOaj8PK2l7WJ3RER9xtqwdhxkhw/edit?usp=sharing"",""สระแก้ว!L450"")"),0)</f>
        <v>0</v>
      </c>
      <c r="M555" s="170"/>
      <c r="N555" s="170">
        <f ca="1">IFERROR(__xludf.DUMMYFUNCTION("IMPORTRANGE(""https://docs.google.com/spreadsheets/d/1SX6NBoVAgQJ6U1MVXOaj8PK2l7WJ3RER9xtqwdhxkhw/edit?usp=sharing"",""สระแก้ว!M450"")"),0)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IFERROR(__xludf.DUMMYFUNCTION("IMPORTRANGE(""https://docs.google.com/spreadsheets/d/1SX6NBoVAgQJ6U1MVXOaj8PK2l7WJ3RER9xtqwdhxkhw/edit?usp=sharing"",""สระแก้ว!M451"")"),0)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IFERROR(__xludf.DUMMYFUNCTION("IMPORTRANGE(""https://docs.google.com/spreadsheets/d/1SX6NBoVAgQJ6U1MVXOaj8PK2l7WJ3RER9xtqwdhxkhw/edit?usp=sharing"",""สระแก้ว!M452"")"),0)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IFERROR(__xludf.DUMMYFUNCTION("IMPORTRANGE(""https://docs.google.com/spreadsheets/d/1SX6NBoVAgQJ6U1MVXOaj8PK2l7WJ3RER9xtqwdhxkhw/edit?usp=sharing"",""สระแก้ว!M453"")"),0)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IFERROR(__xludf.DUMMYFUNCTION("IMPORTRANGE(""https://docs.google.com/spreadsheets/d/1SX6NBoVAgQJ6U1MVXOaj8PK2l7WJ3RER9xtqwdhxkhw/edit?usp=sharing"",""สระแก้ว!M454"")"),0)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IFERROR(__xludf.DUMMYFUNCTION("IMPORTRANGE(""https://docs.google.com/spreadsheets/d/1SX6NBoVAgQJ6U1MVXOaj8PK2l7WJ3RER9xtqwdhxkhw/edit?usp=sharing"",""สระแก้ว!I455"")"),0)</f>
        <v>0</v>
      </c>
      <c r="J560" s="164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IFERROR(__xludf.DUMMYFUNCTION("IMPORTRANGE(""https://docs.google.com/spreadsheets/d/1SX6NBoVAgQJ6U1MVXOaj8PK2l7WJ3RER9xtqwdhxkhw/edit?usp=sharing"",""สระแก้ว!I456"")"),0)</f>
        <v>0</v>
      </c>
      <c r="J561" s="205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IFERROR(__xludf.DUMMYFUNCTION("IMPORTRANGE(""https://docs.google.com/spreadsheets/d/1SX6NBoVAgQJ6U1MVXOaj8PK2l7WJ3RER9xtqwdhxkhw/edit?usp=sharing"",""สระแก้ว!I457"")"),0)</f>
        <v>0</v>
      </c>
      <c r="J562" s="205" t="str">
        <f ca="1">IFERROR(__xludf.DUMMYFUNCTION("IMPORTRANGE(""https://docs.google.com/spreadsheets/d/1SX6NBoVAgQJ6U1MVXOaj8PK2l7WJ3RER9xtqwdhxkhw/edit?usp=sharing"",""สระแก้ว!J457"")"),"")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IFERROR(__xludf.DUMMYFUNCTION("IMPORTRANGE(""https://docs.google.com/spreadsheets/d/1SX6NBoVAgQJ6U1MVXOaj8PK2l7WJ3RER9xtqwdhxkhw/edit?usp=sharing"",""สระแก้ว!I458"")"),0)</f>
        <v>0</v>
      </c>
      <c r="J563" s="189" t="str">
        <f ca="1">IFERROR(__xludf.DUMMYFUNCTION("IMPORTRANGE(""https://docs.google.com/spreadsheets/d/1SX6NBoVAgQJ6U1MVXOaj8PK2l7WJ3RER9xtqwdhxkhw/edit?usp=sharing"",""สระแก้ว!J458"")"),"")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IFERROR(__xludf.DUMMYFUNCTION("IMPORTRANGE(""https://docs.google.com/spreadsheets/d/1SX6NBoVAgQJ6U1MVXOaj8PK2l7WJ3RER9xtqwdhxkhw/edit?usp=sharing"",""สระแก้ว!J459"")"),3112)</f>
        <v>3112</v>
      </c>
      <c r="K564" s="372">
        <f t="shared" ca="1" si="121"/>
        <v>78.784810126582272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IFERROR(__xludf.DUMMYFUNCTION("IMPORTRANGE(""https://docs.google.com/spreadsheets/d/1SX6NBoVAgQJ6U1MVXOaj8PK2l7WJ3RER9xtqwdhxkhw/edit?usp=sharing"",""สระแก้ว!M459"")"),71845)</f>
        <v>71845</v>
      </c>
      <c r="O564" s="373">
        <f t="shared" ref="O564:O568" ca="1" si="122">+IF(L564&gt;0,N564*100/L564,0)</f>
        <v>43.384661835748794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IFERROR(__xludf.DUMMYFUNCTION("IMPORTRANGE(""https://docs.google.com/spreadsheets/d/1SX6NBoVAgQJ6U1MVXOaj8PK2l7WJ3RER9xtqwdhxkhw/edit?usp=sharing"",""สระแก้ว!L460"")"),0)</f>
        <v>0</v>
      </c>
      <c r="M565" s="166"/>
      <c r="N565" s="170">
        <f ca="1">IFERROR(__xludf.DUMMYFUNCTION("IMPORTRANGE(""https://docs.google.com/spreadsheets/d/1SX6NBoVAgQJ6U1MVXOaj8PK2l7WJ3RER9xtqwdhxkhw/edit?usp=sharing"",""สระแก้ว!M460"")"),0)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IFERROR(__xludf.DUMMYFUNCTION("IMPORTRANGE(""https://docs.google.com/spreadsheets/d/1SX6NBoVAgQJ6U1MVXOaj8PK2l7WJ3RER9xtqwdhxkhw/edit?usp=sharing"",""สระแก้ว!L461"")"),165600)</f>
        <v>165600</v>
      </c>
      <c r="M566" s="167"/>
      <c r="N566" s="170">
        <f ca="1">IFERROR(__xludf.DUMMYFUNCTION("IMPORTRANGE(""https://docs.google.com/spreadsheets/d/1SX6NBoVAgQJ6U1MVXOaj8PK2l7WJ3RER9xtqwdhxkhw/edit?usp=sharing"",""สระแก้ว!M461"")"),71845)</f>
        <v>71845</v>
      </c>
      <c r="O566" s="170">
        <f t="shared" ca="1" si="122"/>
        <v>43.384661835748794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IFERROR(__xludf.DUMMYFUNCTION("IMPORTRANGE(""https://docs.google.com/spreadsheets/d/1SX6NBoVAgQJ6U1MVXOaj8PK2l7WJ3RER9xtqwdhxkhw/edit?usp=sharing"",""สระแก้ว!L462"")"),0)</f>
        <v>0</v>
      </c>
      <c r="M567" s="170"/>
      <c r="N567" s="170">
        <f ca="1">IFERROR(__xludf.DUMMYFUNCTION("IMPORTRANGE(""https://docs.google.com/spreadsheets/d/1SX6NBoVAgQJ6U1MVXOaj8PK2l7WJ3RER9xtqwdhxkhw/edit?usp=sharing"",""สระแก้ว!M462"")"),0)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IFERROR(__xludf.DUMMYFUNCTION("IMPORTRANGE(""https://docs.google.com/spreadsheets/d/1SX6NBoVAgQJ6U1MVXOaj8PK2l7WJ3RER9xtqwdhxkhw/edit?usp=sharing"",""สระแก้ว!L463"")"),165600)</f>
        <v>165600</v>
      </c>
      <c r="M568" s="170"/>
      <c r="N568" s="170">
        <f ca="1">IFERROR(__xludf.DUMMYFUNCTION("IMPORTRANGE(""https://docs.google.com/spreadsheets/d/1SX6NBoVAgQJ6U1MVXOaj8PK2l7WJ3RER9xtqwdhxkhw/edit?usp=sharing"",""สระแก้ว!M463"")"),71845)</f>
        <v>71845</v>
      </c>
      <c r="O568" s="170">
        <f t="shared" ca="1" si="122"/>
        <v>43.384661835748794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IFERROR(__xludf.DUMMYFUNCTION("IMPORTRANGE(""https://docs.google.com/spreadsheets/d/1SX6NBoVAgQJ6U1MVXOaj8PK2l7WJ3RER9xtqwdhxkhw/edit?usp=sharing"",""สระแก้ว!M464"")"),0)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IFERROR(__xludf.DUMMYFUNCTION("IMPORTRANGE(""https://docs.google.com/spreadsheets/d/1SX6NBoVAgQJ6U1MVXOaj8PK2l7WJ3RER9xtqwdhxkhw/edit?usp=sharing"",""สระแก้ว!M465"")"),0)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IFERROR(__xludf.DUMMYFUNCTION("IMPORTRANGE(""https://docs.google.com/spreadsheets/d/1SX6NBoVAgQJ6U1MVXOaj8PK2l7WJ3RER9xtqwdhxkhw/edit?usp=sharing"",""สระแก้ว!M466"")"),44000)</f>
        <v>44000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IFERROR(__xludf.DUMMYFUNCTION("IMPORTRANGE(""https://docs.google.com/spreadsheets/d/1SX6NBoVAgQJ6U1MVXOaj8PK2l7WJ3RER9xtqwdhxkhw/edit?usp=sharing"",""สระแก้ว!M467"")"),27845)</f>
        <v>27845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IFERROR(__xludf.DUMMYFUNCTION("IMPORTRANGE(""https://docs.google.com/spreadsheets/d/1SX6NBoVAgQJ6U1MVXOaj8PK2l7WJ3RER9xtqwdhxkhw/edit?usp=sharing"",""สระแก้ว!J468"")"),3112)</f>
        <v>3112</v>
      </c>
      <c r="K573" s="203">
        <f ca="1">IF(I573&gt;0,J573*100/I573,0)</f>
        <v>78.784810126582272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IFERROR(__xludf.DUMMYFUNCTION("IMPORTRANGE(""https://docs.google.com/spreadsheets/d/1SX6NBoVAgQJ6U1MVXOaj8PK2l7WJ3RER9xtqwdhxkhw/edit?usp=sharing"",""สระแก้ว!I470"")"),0)</f>
        <v>0</v>
      </c>
      <c r="J575" s="199">
        <f ca="1">IFERROR(__xludf.DUMMYFUNCTION("IMPORTRANGE(""https://docs.google.com/spreadsheets/d/1SX6NBoVAgQJ6U1MVXOaj8PK2l7WJ3RER9xtqwdhxkhw/edit?usp=sharing"",""สระแก้ว!J470"")"),4)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IFERROR(__xludf.DUMMYFUNCTION("IMPORTRANGE(""https://docs.google.com/spreadsheets/d/1SX6NBoVAgQJ6U1MVXOaj8PK2l7WJ3RER9xtqwdhxkhw/edit?usp=sharing"",""สระแก้ว!I471"")"),0)</f>
        <v>0</v>
      </c>
      <c r="J576" s="199">
        <f ca="1">IFERROR(__xludf.DUMMYFUNCTION("IMPORTRANGE(""https://docs.google.com/spreadsheets/d/1SX6NBoVAgQJ6U1MVXOaj8PK2l7WJ3RER9xtqwdhxkhw/edit?usp=sharing"",""สระแก้ว!J471"")"),125)</f>
        <v>125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IFERROR(__xludf.DUMMYFUNCTION("IMPORTRANGE(""https://docs.google.com/spreadsheets/d/1SX6NBoVAgQJ6U1MVXOaj8PK2l7WJ3RER9xtqwdhxkhw/edit?usp=sharing"",""สระแก้ว!I472"")"),0)</f>
        <v>0</v>
      </c>
      <c r="J577" s="190">
        <f ca="1">IFERROR(__xludf.DUMMYFUNCTION("IMPORTRANGE(""https://docs.google.com/spreadsheets/d/1SX6NBoVAgQJ6U1MVXOaj8PK2l7WJ3RER9xtqwdhxkhw/edit?usp=sharing"",""สระแก้ว!J472"")"),2987)</f>
        <v>2987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IFERROR(__xludf.DUMMYFUNCTION("IMPORTRANGE(""https://docs.google.com/spreadsheets/d/1SX6NBoVAgQJ6U1MVXOaj8PK2l7WJ3RER9xtqwdhxkhw/edit?usp=sharing"",""สระแก้ว!I473"")"),0)</f>
        <v>0</v>
      </c>
      <c r="J578" s="199">
        <f ca="1">IFERROR(__xludf.DUMMYFUNCTION("IMPORTRANGE(""https://docs.google.com/spreadsheets/d/1SX6NBoVAgQJ6U1MVXOaj8PK2l7WJ3RER9xtqwdhxkhw/edit?usp=sharing"",""สระแก้ว!J473"")"),0)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IFERROR(__xludf.DUMMYFUNCTION("IMPORTRANGE(""https://docs.google.com/spreadsheets/d/1SX6NBoVAgQJ6U1MVXOaj8PK2l7WJ3RER9xtqwdhxkhw/edit?usp=sharing"",""สระแก้ว!I474"")"),0)</f>
        <v>0</v>
      </c>
      <c r="J579" s="199">
        <f ca="1">IFERROR(__xludf.DUMMYFUNCTION("IMPORTRANGE(""https://docs.google.com/spreadsheets/d/1SX6NBoVAgQJ6U1MVXOaj8PK2l7WJ3RER9xtqwdhxkhw/edit?usp=sharing"",""สระแก้ว!J474"")"),0)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IFERROR(__xludf.DUMMYFUNCTION("IMPORTRANGE(""https://docs.google.com/spreadsheets/d/1SX6NBoVAgQJ6U1MVXOaj8PK2l7WJ3RER9xtqwdhxkhw/edit?usp=sharing"",""สระแก้ว!L475"")"),370563)</f>
        <v>370563</v>
      </c>
      <c r="M580" s="373"/>
      <c r="N580" s="373">
        <f ca="1">IFERROR(__xludf.DUMMYFUNCTION("IMPORTRANGE(""https://docs.google.com/spreadsheets/d/1SX6NBoVAgQJ6U1MVXOaj8PK2l7WJ3RER9xtqwdhxkhw/edit?usp=sharing"",""สระแก้ว!M475"")"),62570.91)</f>
        <v>62570.91</v>
      </c>
      <c r="O580" s="373">
        <f t="shared" ref="O580:O584" ca="1" si="124">+IF(L580&gt;0,N580*100/L580,0)</f>
        <v>16.885363622380002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IFERROR(__xludf.DUMMYFUNCTION("IMPORTRANGE(""https://docs.google.com/spreadsheets/d/1SX6NBoVAgQJ6U1MVXOaj8PK2l7WJ3RER9xtqwdhxkhw/edit?usp=sharing"",""สระแก้ว!L476"")"),0)</f>
        <v>0</v>
      </c>
      <c r="M581" s="166"/>
      <c r="N581" s="170">
        <f ca="1">IFERROR(__xludf.DUMMYFUNCTION("IMPORTRANGE(""https://docs.google.com/spreadsheets/d/1SX6NBoVAgQJ6U1MVXOaj8PK2l7WJ3RER9xtqwdhxkhw/edit?usp=sharing"",""สระแก้ว!M476"")"),0)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IFERROR(__xludf.DUMMYFUNCTION("IMPORTRANGE(""https://docs.google.com/spreadsheets/d/1SX6NBoVAgQJ6U1MVXOaj8PK2l7WJ3RER9xtqwdhxkhw/edit?usp=sharing"",""สระแก้ว!L477"")"),370563)</f>
        <v>370563</v>
      </c>
      <c r="M582" s="167"/>
      <c r="N582" s="170">
        <f ca="1">IFERROR(__xludf.DUMMYFUNCTION("IMPORTRANGE(""https://docs.google.com/spreadsheets/d/1SX6NBoVAgQJ6U1MVXOaj8PK2l7WJ3RER9xtqwdhxkhw/edit?usp=sharing"",""สระแก้ว!M477"")"),62570.91)</f>
        <v>62570.91</v>
      </c>
      <c r="O582" s="170">
        <f t="shared" ca="1" si="124"/>
        <v>16.885363622380002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IFERROR(__xludf.DUMMYFUNCTION("IMPORTRANGE(""https://docs.google.com/spreadsheets/d/1SX6NBoVAgQJ6U1MVXOaj8PK2l7WJ3RER9xtqwdhxkhw/edit?usp=sharing"",""สระแก้ว!L478"")"),0)</f>
        <v>0</v>
      </c>
      <c r="M583" s="170"/>
      <c r="N583" s="170">
        <f ca="1">IFERROR(__xludf.DUMMYFUNCTION("IMPORTRANGE(""https://docs.google.com/spreadsheets/d/1SX6NBoVAgQJ6U1MVXOaj8PK2l7WJ3RER9xtqwdhxkhw/edit?usp=sharing"",""สระแก้ว!M478"")"),0)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IFERROR(__xludf.DUMMYFUNCTION("IMPORTRANGE(""https://docs.google.com/spreadsheets/d/1SX6NBoVAgQJ6U1MVXOaj8PK2l7WJ3RER9xtqwdhxkhw/edit?usp=sharing"",""สระแก้ว!L479"")"),370563)</f>
        <v>370563</v>
      </c>
      <c r="M584" s="170"/>
      <c r="N584" s="170">
        <f ca="1">IFERROR(__xludf.DUMMYFUNCTION("IMPORTRANGE(""https://docs.google.com/spreadsheets/d/1SX6NBoVAgQJ6U1MVXOaj8PK2l7WJ3RER9xtqwdhxkhw/edit?usp=sharing"",""สระแก้ว!M479"")"),62570.91)</f>
        <v>62570.91</v>
      </c>
      <c r="O584" s="170">
        <f t="shared" ca="1" si="124"/>
        <v>16.885363622380002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IFERROR(__xludf.DUMMYFUNCTION("IMPORTRANGE(""https://docs.google.com/spreadsheets/d/1SX6NBoVAgQJ6U1MVXOaj8PK2l7WJ3RER9xtqwdhxkhw/edit?usp=sharing"",""สระแก้ว!M480"")"),0)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IFERROR(__xludf.DUMMYFUNCTION("IMPORTRANGE(""https://docs.google.com/spreadsheets/d/1SX6NBoVAgQJ6U1MVXOaj8PK2l7WJ3RER9xtqwdhxkhw/edit?usp=sharing"",""สระแก้ว!M481"")"),0)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IFERROR(__xludf.DUMMYFUNCTION("IMPORTRANGE(""https://docs.google.com/spreadsheets/d/1SX6NBoVAgQJ6U1MVXOaj8PK2l7WJ3RER9xtqwdhxkhw/edit?usp=sharing"",""สระแก้ว!M482"")"),49410.91)</f>
        <v>49410.91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IFERROR(__xludf.DUMMYFUNCTION("IMPORTRANGE(""https://docs.google.com/spreadsheets/d/1SX6NBoVAgQJ6U1MVXOaj8PK2l7WJ3RER9xtqwdhxkhw/edit?usp=sharing"",""สระแก้ว!M483"")"),13160)</f>
        <v>13160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IFERROR(__xludf.DUMMYFUNCTION("IMPORTRANGE(""https://docs.google.com/spreadsheets/d/1SX6NBoVAgQJ6U1MVXOaj8PK2l7WJ3RER9xtqwdhxkhw/edit?usp=sharing"",""สระแก้ว!I484"")"),213)</f>
        <v>213</v>
      </c>
      <c r="J589" s="189">
        <f ca="1">IFERROR(__xludf.DUMMYFUNCTION("IMPORTRANGE(""https://docs.google.com/spreadsheets/d/1SX6NBoVAgQJ6U1MVXOaj8PK2l7WJ3RER9xtqwdhxkhw/edit?usp=sharing"",""สระแก้ว!J484"")"),0)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9">
        <f ca="1">IFERROR(__xludf.DUMMYFUNCTION("IMPORTRANGE(""https://docs.google.com/spreadsheets/d/1SX6NBoVAgQJ6U1MVXOaj8PK2l7WJ3RER9xtqwdhxkhw/edit?usp=sharing"",""สระแก้ว!J485"")"),0)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IFERROR(__xludf.DUMMYFUNCTION("IMPORTRANGE(""https://docs.google.com/spreadsheets/d/1SX6NBoVAgQJ6U1MVXOaj8PK2l7WJ3RER9xtqwdhxkhw/edit?usp=sharing"",""สระแก้ว!I486"")"),213)</f>
        <v>213</v>
      </c>
      <c r="J591" s="189">
        <f ca="1">IFERROR(__xludf.DUMMYFUNCTION("IMPORTRANGE(""https://docs.google.com/spreadsheets/d/1SX6NBoVAgQJ6U1MVXOaj8PK2l7WJ3RER9xtqwdhxkhw/edit?usp=sharing"",""สระแก้ว!J486"")"),0)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9">
        <f ca="1">IFERROR(__xludf.DUMMYFUNCTION("IMPORTRANGE(""https://docs.google.com/spreadsheets/d/1SX6NBoVAgQJ6U1MVXOaj8PK2l7WJ3RER9xtqwdhxkhw/edit?usp=sharing"",""สระแก้ว!J487"")"),0)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IFERROR(__xludf.DUMMYFUNCTION("IMPORTRANGE(""https://docs.google.com/spreadsheets/d/1SX6NBoVAgQJ6U1MVXOaj8PK2l7WJ3RER9xtqwdhxkhw/edit?usp=sharing"",""สระแก้ว!I488"")"),213)</f>
        <v>213</v>
      </c>
      <c r="J593" s="189">
        <f ca="1">IFERROR(__xludf.DUMMYFUNCTION("IMPORTRANGE(""https://docs.google.com/spreadsheets/d/1SX6NBoVAgQJ6U1MVXOaj8PK2l7WJ3RER9xtqwdhxkhw/edit?usp=sharing"",""สระแก้ว!J488"")"),0)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9">
        <f ca="1">IFERROR(__xludf.DUMMYFUNCTION("IMPORTRANGE(""https://docs.google.com/spreadsheets/d/1SX6NBoVAgQJ6U1MVXOaj8PK2l7WJ3RER9xtqwdhxkhw/edit?usp=sharing"",""สระแก้ว!J489"")"),0)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IFERROR(__xludf.DUMMYFUNCTION("IMPORTRANGE(""https://docs.google.com/spreadsheets/d/1SX6NBoVAgQJ6U1MVXOaj8PK2l7WJ3RER9xtqwdhxkhw/edit?usp=sharing"",""สระแก้ว!I490"")"),213)</f>
        <v>213</v>
      </c>
      <c r="J595" s="189">
        <f ca="1">IFERROR(__xludf.DUMMYFUNCTION("IMPORTRANGE(""https://docs.google.com/spreadsheets/d/1SX6NBoVAgQJ6U1MVXOaj8PK2l7WJ3RER9xtqwdhxkhw/edit?usp=sharing"",""สระแก้ว!J490"")"),0)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7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IFERROR(__xludf.DUMMYFUNCTION("IMPORTRANGE(""https://docs.google.com/spreadsheets/d/1SX6NBoVAgQJ6U1MVXOaj8PK2l7WJ3RER9xtqwdhxkhw/edit?usp=sharing"",""สระแก้ว!L493"")"),0)</f>
        <v>0</v>
      </c>
      <c r="M598" s="166"/>
      <c r="N598" s="170">
        <f ca="1">IFERROR(__xludf.DUMMYFUNCTION("IMPORTRANGE(""https://docs.google.com/spreadsheets/d/1SX6NBoVAgQJ6U1MVXOaj8PK2l7WJ3RER9xtqwdhxkhw/edit?usp=sharing"",""สระแก้ว!M493"")"),0)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IFERROR(__xludf.DUMMYFUNCTION("IMPORTRANGE(""https://docs.google.com/spreadsheets/d/1SX6NBoVAgQJ6U1MVXOaj8PK2l7WJ3RER9xtqwdhxkhw/edit?usp=sharing"",""สระแก้ว!L494"")"),12900)</f>
        <v>12900</v>
      </c>
      <c r="M599" s="167"/>
      <c r="N599" s="170">
        <f ca="1">IFERROR(__xludf.DUMMYFUNCTION("IMPORTRANGE(""https://docs.google.com/spreadsheets/d/1SX6NBoVAgQJ6U1MVXOaj8PK2l7WJ3RER9xtqwdhxkhw/edit?usp=sharing"",""สระแก้ว!M494"")"),7400)</f>
        <v>7400</v>
      </c>
      <c r="O599" s="170">
        <f t="shared" ca="1" si="126"/>
        <v>57.36434108527132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IFERROR(__xludf.DUMMYFUNCTION("IMPORTRANGE(""https://docs.google.com/spreadsheets/d/1SX6NBoVAgQJ6U1MVXOaj8PK2l7WJ3RER9xtqwdhxkhw/edit?usp=sharing"",""สระแก้ว!L495"")"),0)</f>
        <v>0</v>
      </c>
      <c r="M600" s="170"/>
      <c r="N600" s="170">
        <f ca="1">IFERROR(__xludf.DUMMYFUNCTION("IMPORTRANGE(""https://docs.google.com/spreadsheets/d/1SX6NBoVAgQJ6U1MVXOaj8PK2l7WJ3RER9xtqwdhxkhw/edit?usp=sharing"",""สระแก้ว!M495"")"),0)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IFERROR(__xludf.DUMMYFUNCTION("IMPORTRANGE(""https://docs.google.com/spreadsheets/d/1SX6NBoVAgQJ6U1MVXOaj8PK2l7WJ3RER9xtqwdhxkhw/edit?usp=sharing"",""สระแก้ว!L496"")"),12900)</f>
        <v>12900</v>
      </c>
      <c r="M601" s="170"/>
      <c r="N601" s="170">
        <f ca="1">IFERROR(__xludf.DUMMYFUNCTION("IMPORTRANGE(""https://docs.google.com/spreadsheets/d/1SX6NBoVAgQJ6U1MVXOaj8PK2l7WJ3RER9xtqwdhxkhw/edit?usp=sharing"",""สระแก้ว!M496"")"),7400)</f>
        <v>7400</v>
      </c>
      <c r="O601" s="170">
        <f t="shared" ca="1" si="126"/>
        <v>57.36434108527132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IFERROR(__xludf.DUMMYFUNCTION("IMPORTRANGE(""https://docs.google.com/spreadsheets/d/1SX6NBoVAgQJ6U1MVXOaj8PK2l7WJ3RER9xtqwdhxkhw/edit?usp=sharing"",""สระแก้ว!M497"")"),0)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IFERROR(__xludf.DUMMYFUNCTION("IMPORTRANGE(""https://docs.google.com/spreadsheets/d/1SX6NBoVAgQJ6U1MVXOaj8PK2l7WJ3RER9xtqwdhxkhw/edit?usp=sharing"",""สระแก้ว!M498"")"),0)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IFERROR(__xludf.DUMMYFUNCTION("IMPORTRANGE(""https://docs.google.com/spreadsheets/d/1SX6NBoVAgQJ6U1MVXOaj8PK2l7WJ3RER9xtqwdhxkhw/edit?usp=sharing"",""สระแก้ว!J502"")"),0)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IFERROR(__xludf.DUMMYFUNCTION("IMPORTRANGE(""https://docs.google.com/spreadsheets/d/1SX6NBoVAgQJ6U1MVXOaj8PK2l7WJ3RER9xtqwdhxkhw/edit?usp=sharing"",""สระแก้ว!J503"")"),1)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IFERROR(__xludf.DUMMYFUNCTION("IMPORTRANGE(""https://docs.google.com/spreadsheets/d/1SX6NBoVAgQJ6U1MVXOaj8PK2l7WJ3RER9xtqwdhxkhw/edit?usp=sharing"",""สระแก้ว!I506"")"),100)</f>
        <v>100</v>
      </c>
      <c r="J611" s="164">
        <f ca="1">IFERROR(__xludf.DUMMYFUNCTION("IMPORTRANGE(""https://docs.google.com/spreadsheets/d/1SX6NBoVAgQJ6U1MVXOaj8PK2l7WJ3RER9xtqwdhxkhw/edit?usp=sharing"",""สระแก้ว!J506"")"),0)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IFERROR(__xludf.DUMMYFUNCTION("IMPORTRANGE(""https://docs.google.com/spreadsheets/d/1SX6NBoVAgQJ6U1MVXOaj8PK2l7WJ3RER9xtqwdhxkhw/edit?usp=sharing"",""สระแก้ว!I507"")"),0)</f>
        <v>0</v>
      </c>
      <c r="J612" s="199">
        <f ca="1">IFERROR(__xludf.DUMMYFUNCTION("IMPORTRANGE(""https://docs.google.com/spreadsheets/d/1SX6NBoVAgQJ6U1MVXOaj8PK2l7WJ3RER9xtqwdhxkhw/edit?usp=sharing"",""สระแก้ว!J507"")"),0)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IFERROR(__xludf.DUMMYFUNCTION("IMPORTRANGE(""https://docs.google.com/spreadsheets/d/1SX6NBoVAgQJ6U1MVXOaj8PK2l7WJ3RER9xtqwdhxkhw/edit?usp=sharing"",""สระแก้ว!I508"")"),0)</f>
        <v>0</v>
      </c>
      <c r="J613" s="199">
        <f ca="1">IFERROR(__xludf.DUMMYFUNCTION("IMPORTRANGE(""https://docs.google.com/spreadsheets/d/1SX6NBoVAgQJ6U1MVXOaj8PK2l7WJ3RER9xtqwdhxkhw/edit?usp=sharing"",""สระแก้ว!J508"")"),0)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IFERROR(__xludf.DUMMYFUNCTION("IMPORTRANGE(""https://docs.google.com/spreadsheets/d/1SX6NBoVAgQJ6U1MVXOaj8PK2l7WJ3RER9xtqwdhxkhw/edit?usp=sharing"",""สระแก้ว!I509"")"),0)</f>
        <v>0</v>
      </c>
      <c r="J614" s="199">
        <f ca="1">IFERROR(__xludf.DUMMYFUNCTION("IMPORTRANGE(""https://docs.google.com/spreadsheets/d/1SX6NBoVAgQJ6U1MVXOaj8PK2l7WJ3RER9xtqwdhxkhw/edit?usp=sharing"",""สระแก้ว!J509"")"),0)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IFERROR(__xludf.DUMMYFUNCTION("IMPORTRANGE(""https://docs.google.com/spreadsheets/d/1SX6NBoVAgQJ6U1MVXOaj8PK2l7WJ3RER9xtqwdhxkhw/edit?usp=sharing"",""สระแก้ว!I510"")"),0)</f>
        <v>0</v>
      </c>
      <c r="J615" s="199">
        <f ca="1">IFERROR(__xludf.DUMMYFUNCTION("IMPORTRANGE(""https://docs.google.com/spreadsheets/d/1SX6NBoVAgQJ6U1MVXOaj8PK2l7WJ3RER9xtqwdhxkhw/edit?usp=sharing"",""สระแก้ว!J510"")"),0)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IFERROR(__xludf.DUMMYFUNCTION("IMPORTRANGE(""https://docs.google.com/spreadsheets/d/1SX6NBoVAgQJ6U1MVXOaj8PK2l7WJ3RER9xtqwdhxkhw/edit?usp=sharing"",""สระแก้ว!I511"")"),0)</f>
        <v>0</v>
      </c>
      <c r="J616" s="199">
        <f ca="1">IFERROR(__xludf.DUMMYFUNCTION("IMPORTRANGE(""https://docs.google.com/spreadsheets/d/1SX6NBoVAgQJ6U1MVXOaj8PK2l7WJ3RER9xtqwdhxkhw/edit?usp=sharing"",""สระแก้ว!J511"")"),0)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IFERROR(__xludf.DUMMYFUNCTION("IMPORTRANGE(""https://docs.google.com/spreadsheets/d/1SX6NBoVAgQJ6U1MVXOaj8PK2l7WJ3RER9xtqwdhxkhw/edit?usp=sharing"",""สระแก้ว!I512"")"),0)</f>
        <v>0</v>
      </c>
      <c r="J617" s="189">
        <f ca="1">IFERROR(__xludf.DUMMYFUNCTION("IMPORTRANGE(""https://docs.google.com/spreadsheets/d/1SX6NBoVAgQJ6U1MVXOaj8PK2l7WJ3RER9xtqwdhxkhw/edit?usp=sharing"",""สระแก้ว!J512"")"),0)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IFERROR(__xludf.DUMMYFUNCTION("IMPORTRANGE(""https://docs.google.com/spreadsheets/d/1SX6NBoVAgQJ6U1MVXOaj8PK2l7WJ3RER9xtqwdhxkhw/edit?usp=sharing"",""สระแก้ว!I513"")"),0)</f>
        <v>0</v>
      </c>
      <c r="J618" s="190">
        <f ca="1">IFERROR(__xludf.DUMMYFUNCTION("IMPORTRANGE(""https://docs.google.com/spreadsheets/d/1SX6NBoVAgQJ6U1MVXOaj8PK2l7WJ3RER9xtqwdhxkhw/edit?usp=sharing"",""สระแก้ว!J513"")"),0)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IFERROR(__xludf.DUMMYFUNCTION("IMPORTRANGE(""https://docs.google.com/spreadsheets/d/1SX6NBoVAgQJ6U1MVXOaj8PK2l7WJ3RER9xtqwdhxkhw/edit?usp=sharing"",""สระแก้ว!I514"")"),0)</f>
        <v>0</v>
      </c>
      <c r="J619" s="190">
        <f ca="1">IFERROR(__xludf.DUMMYFUNCTION("IMPORTRANGE(""https://docs.google.com/spreadsheets/d/1SX6NBoVAgQJ6U1MVXOaj8PK2l7WJ3RER9xtqwdhxkhw/edit?usp=sharing"",""สระแก้ว!J514"")"),0)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IFERROR(__xludf.DUMMYFUNCTION("IMPORTRANGE(""https://docs.google.com/spreadsheets/d/1SX6NBoVAgQJ6U1MVXOaj8PK2l7WJ3RER9xtqwdhxkhw/edit?usp=sharing"",""สระแก้ว!I515"")"),0)</f>
        <v>0</v>
      </c>
      <c r="J620" s="204">
        <f ca="1">IFERROR(__xludf.DUMMYFUNCTION("IMPORTRANGE(""https://docs.google.com/spreadsheets/d/1SX6NBoVAgQJ6U1MVXOaj8PK2l7WJ3RER9xtqwdhxkhw/edit?usp=sharing"",""สระแก้ว!J515"")"),0)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IFERROR(__xludf.DUMMYFUNCTION("IMPORTRANGE(""https://docs.google.com/spreadsheets/d/1SX6NBoVAgQJ6U1MVXOaj8PK2l7WJ3RER9xtqwdhxkhw/edit?usp=sharing"",""สระแก้ว!I516"")"),0)</f>
        <v>0</v>
      </c>
      <c r="J621" s="204">
        <f ca="1">IFERROR(__xludf.DUMMYFUNCTION("IMPORTRANGE(""https://docs.google.com/spreadsheets/d/1SX6NBoVAgQJ6U1MVXOaj8PK2l7WJ3RER9xtqwdhxkhw/edit?usp=sharing"",""สระแก้ว!J516"")"),0)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IFERROR(__xludf.DUMMYFUNCTION("IMPORTRANGE(""https://docs.google.com/spreadsheets/d/1SX6NBoVAgQJ6U1MVXOaj8PK2l7WJ3RER9xtqwdhxkhw/edit?usp=sharing"",""สระแก้ว!I517"")"),0)</f>
        <v>0</v>
      </c>
      <c r="J622" s="190">
        <f ca="1">IFERROR(__xludf.DUMMYFUNCTION("IMPORTRANGE(""https://docs.google.com/spreadsheets/d/1SX6NBoVAgQJ6U1MVXOaj8PK2l7WJ3RER9xtqwdhxkhw/edit?usp=sharing"",""สระแก้ว!J517"")"),0)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IFERROR(__xludf.DUMMYFUNCTION("IMPORTRANGE(""https://docs.google.com/spreadsheets/d/1SX6NBoVAgQJ6U1MVXOaj8PK2l7WJ3RER9xtqwdhxkhw/edit?usp=sharing"",""สระแก้ว!I518"")"),0)</f>
        <v>0</v>
      </c>
      <c r="J623" s="190">
        <f ca="1">IFERROR(__xludf.DUMMYFUNCTION("IMPORTRANGE(""https://docs.google.com/spreadsheets/d/1SX6NBoVAgQJ6U1MVXOaj8PK2l7WJ3RER9xtqwdhxkhw/edit?usp=sharing"",""สระแก้ว!J518"")"),0)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IFERROR(__xludf.DUMMYFUNCTION("IMPORTRANGE(""https://docs.google.com/spreadsheets/d/1SX6NBoVAgQJ6U1MVXOaj8PK2l7WJ3RER9xtqwdhxkhw/edit?usp=sharing"",""สระแก้ว!I519"")"),0)</f>
        <v>0</v>
      </c>
      <c r="J624" s="189">
        <f ca="1">IFERROR(__xludf.DUMMYFUNCTION("IMPORTRANGE(""https://docs.google.com/spreadsheets/d/1SX6NBoVAgQJ6U1MVXOaj8PK2l7WJ3RER9xtqwdhxkhw/edit?usp=sharing"",""สระแก้ว!J519"")"),0)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IFERROR(__xludf.DUMMYFUNCTION("IMPORTRANGE(""https://docs.google.com/spreadsheets/d/1SX6NBoVAgQJ6U1MVXOaj8PK2l7WJ3RER9xtqwdhxkhw/edit?usp=sharing"",""สระแก้ว!I520"")"),0)</f>
        <v>0</v>
      </c>
      <c r="J625" s="190">
        <f ca="1">IFERROR(__xludf.DUMMYFUNCTION("IMPORTRANGE(""https://docs.google.com/spreadsheets/d/1SX6NBoVAgQJ6U1MVXOaj8PK2l7WJ3RER9xtqwdhxkhw/edit?usp=sharing"",""สระแก้ว!J520"")"),0)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IFERROR(__xludf.DUMMYFUNCTION("IMPORTRANGE(""https://docs.google.com/spreadsheets/d/1SX6NBoVAgQJ6U1MVXOaj8PK2l7WJ3RER9xtqwdhxkhw/edit?usp=sharing"",""สระแก้ว!I521"")"),0)</f>
        <v>0</v>
      </c>
      <c r="J626" s="190">
        <f ca="1">IFERROR(__xludf.DUMMYFUNCTION("IMPORTRANGE(""https://docs.google.com/spreadsheets/d/1SX6NBoVAgQJ6U1MVXOaj8PK2l7WJ3RER9xtqwdhxkhw/edit?usp=sharing"",""สระแก้ว!J521"")"),0)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1">
        <f ca="1">IFERROR(__xludf.DUMMYFUNCTION("IMPORTRANGE(""https://docs.google.com/spreadsheets/d/1SX6NBoVAgQJ6U1MVXOaj8PK2l7WJ3RER9xtqwdhxkhw/edit?usp=sharing"",""สระแก้ว!J523"")"),3780919.31)</f>
        <v>3780919.31</v>
      </c>
      <c r="K628" s="342">
        <f t="shared" ref="K628:K635" ca="1" si="129">IF(I628&gt;0,J628*100/I628,0)</f>
        <v>45.925822582409552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IFERROR(__xludf.DUMMYFUNCTION("IMPORTRANGE(""https://docs.google.com/spreadsheets/d/1SX6NBoVAgQJ6U1MVXOaj8PK2l7WJ3RER9xtqwdhxkhw/edit?usp=sharing"",""สระแก้ว!I524"")"),586)</f>
        <v>586</v>
      </c>
      <c r="J629" s="341">
        <f ca="1">IFERROR(__xludf.DUMMYFUNCTION("IMPORTRANGE(""https://docs.google.com/spreadsheets/d/1SX6NBoVAgQJ6U1MVXOaj8PK2l7WJ3RER9xtqwdhxkhw/edit?usp=sharing"",""สระแก้ว!J524"")"),224)</f>
        <v>224</v>
      </c>
      <c r="K629" s="342">
        <f t="shared" ca="1" si="129"/>
        <v>38.225255972696246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1">
        <f ca="1">IFERROR(__xludf.DUMMYFUNCTION("IMPORTRANGE(""https://docs.google.com/spreadsheets/d/1SX6NBoVAgQJ6U1MVXOaj8PK2l7WJ3RER9xtqwdhxkhw/edit?usp=sharing"",""สระแก้ว!J525"")"),925151.86)</f>
        <v>925151.86</v>
      </c>
      <c r="K630" s="342">
        <f t="shared" ca="1" si="129"/>
        <v>17.134751362487346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IFERROR(__xludf.DUMMYFUNCTION("IMPORTRANGE(""https://docs.google.com/spreadsheets/d/1SX6NBoVAgQJ6U1MVXOaj8PK2l7WJ3RER9xtqwdhxkhw/edit?usp=sharing"",""สระแก้ว!I526"")"),242)</f>
        <v>242</v>
      </c>
      <c r="J631" s="341">
        <f ca="1">IFERROR(__xludf.DUMMYFUNCTION("IMPORTRANGE(""https://docs.google.com/spreadsheets/d/1SX6NBoVAgQJ6U1MVXOaj8PK2l7WJ3RER9xtqwdhxkhw/edit?usp=sharing"",""สระแก้ว!J526"")"),169)</f>
        <v>169</v>
      </c>
      <c r="K631" s="342">
        <f t="shared" ca="1" si="129"/>
        <v>69.834710743801651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IFERROR(__xludf.DUMMYFUNCTION("IMPORTRANGE(""https://docs.google.com/spreadsheets/d/1SX6NBoVAgQJ6U1MVXOaj8PK2l7WJ3RER9xtqwdhxkhw/edit?usp=sharing"",""สระแก้ว!I527"")"),0)</f>
        <v>0</v>
      </c>
      <c r="J632" s="341">
        <f ca="1">IFERROR(__xludf.DUMMYFUNCTION("IMPORTRANGE(""https://docs.google.com/spreadsheets/d/1SX6NBoVAgQJ6U1MVXOaj8PK2l7WJ3RER9xtqwdhxkhw/edit?usp=sharing"",""สระแก้ว!J527"")"),16650.11)</f>
        <v>16650.11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IFERROR(__xludf.DUMMYFUNCTION("IMPORTRANGE(""https://docs.google.com/spreadsheets/d/1SX6NBoVAgQJ6U1MVXOaj8PK2l7WJ3RER9xtqwdhxkhw/edit?usp=sharing"",""สระแก้ว!I528"")"),0)</f>
        <v>0</v>
      </c>
      <c r="J633" s="341">
        <f ca="1">IFERROR(__xludf.DUMMYFUNCTION("IMPORTRANGE(""https://docs.google.com/spreadsheets/d/1SX6NBoVAgQJ6U1MVXOaj8PK2l7WJ3RER9xtqwdhxkhw/edit?usp=sharing"",""สระแก้ว!J528"")"),1)</f>
        <v>1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IFERROR(__xludf.DUMMYFUNCTION("IMPORTRANGE(""https://docs.google.com/spreadsheets/d/1SX6NBoVAgQJ6U1MVXOaj8PK2l7WJ3RER9xtqwdhxkhw/edit?usp=sharing"",""สระแก้ว!I529"")"),10000000)</f>
        <v>10000000</v>
      </c>
      <c r="J634" s="341">
        <f ca="1">IFERROR(__xludf.DUMMYFUNCTION("IMPORTRANGE(""https://docs.google.com/spreadsheets/d/1SX6NBoVAgQJ6U1MVXOaj8PK2l7WJ3RER9xtqwdhxkhw/edit?usp=sharing"",""สระแก้ว!J529"")"),2000000)</f>
        <v>2000000</v>
      </c>
      <c r="K634" s="342">
        <f t="shared" ca="1" si="129"/>
        <v>20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IFERROR(__xludf.DUMMYFUNCTION("IMPORTRANGE(""https://docs.google.com/spreadsheets/d/1SX6NBoVAgQJ6U1MVXOaj8PK2l7WJ3RER9xtqwdhxkhw/edit?usp=sharing"",""สระแก้ว!I530"")"),250)</f>
        <v>250</v>
      </c>
      <c r="J635" s="504">
        <f ca="1">IFERROR(__xludf.DUMMYFUNCTION("IMPORTRANGE(""https://docs.google.com/spreadsheets/d/1SX6NBoVAgQJ6U1MVXOaj8PK2l7WJ3RER9xtqwdhxkhw/edit?usp=sharing"",""สระแก้ว!J530"")"),53)</f>
        <v>53</v>
      </c>
      <c r="K635" s="486">
        <f t="shared" ca="1" si="129"/>
        <v>21.2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4257812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272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4162534</v>
      </c>
      <c r="M8" s="23">
        <f t="shared" ca="1" si="0"/>
        <v>1701037</v>
      </c>
      <c r="N8" s="23">
        <f t="shared" ca="1" si="0"/>
        <v>1692813</v>
      </c>
      <c r="O8" s="22">
        <f t="shared" ref="O8:O16" ca="1" si="1">IF(L8&gt;0,N8*100/L8,0)</f>
        <v>40.667847998358695</v>
      </c>
      <c r="P8" s="22">
        <f t="shared" ref="P8:P16" ca="1" si="2">IF(M8&gt;0,N8*100/M8,0)</f>
        <v>99.516530210689126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4162534</v>
      </c>
      <c r="M10" s="30">
        <f t="shared" ca="1" si="4"/>
        <v>1701037</v>
      </c>
      <c r="N10" s="30">
        <f t="shared" ca="1" si="4"/>
        <v>1692813</v>
      </c>
      <c r="O10" s="29">
        <f t="shared" ca="1" si="1"/>
        <v>40.667847998358695</v>
      </c>
      <c r="P10" s="29">
        <f t="shared" ca="1" si="2"/>
        <v>99.516530210689126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4038134</v>
      </c>
      <c r="M12" s="38">
        <f t="shared" ca="1" si="6"/>
        <v>1576637</v>
      </c>
      <c r="N12" s="38">
        <f t="shared" ca="1" si="6"/>
        <v>1568413</v>
      </c>
      <c r="O12" s="38">
        <f t="shared" ca="1" si="1"/>
        <v>38.840043445809378</v>
      </c>
      <c r="P12" s="38">
        <f t="shared" ca="1" si="2"/>
        <v>99.478383419899444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2174834</v>
      </c>
      <c r="M14" s="38">
        <f t="shared" si="8"/>
        <v>0</v>
      </c>
      <c r="N14" s="38">
        <f t="shared" ca="1" si="8"/>
        <v>212559</v>
      </c>
      <c r="O14" s="38">
        <f t="shared" ca="1" si="1"/>
        <v>9.7735735233125833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2843720</v>
      </c>
      <c r="M18" s="23">
        <f t="shared" ca="1" si="11"/>
        <v>1701037</v>
      </c>
      <c r="N18" s="23">
        <f t="shared" ca="1" si="11"/>
        <v>1480254</v>
      </c>
      <c r="O18" s="22">
        <f t="shared" ref="O18:O20" ca="1" si="12">IF(L18&gt;0,N18*100/L18,0)</f>
        <v>52.053437047247968</v>
      </c>
      <c r="P18" s="22">
        <f t="shared" ref="P18:P26" ca="1" si="13">IF(M18&gt;0,N18*100/M18,0)</f>
        <v>87.020682089807565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2843720</v>
      </c>
      <c r="M20" s="30">
        <f t="shared" ca="1" si="15"/>
        <v>1701037</v>
      </c>
      <c r="N20" s="30">
        <f t="shared" ca="1" si="15"/>
        <v>1480254</v>
      </c>
      <c r="O20" s="29">
        <f t="shared" ca="1" si="12"/>
        <v>52.053437047247968</v>
      </c>
      <c r="P20" s="29">
        <f t="shared" ca="1" si="13"/>
        <v>87.020682089807565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1576637</v>
      </c>
      <c r="N22" s="38">
        <f t="shared" ca="1" si="18"/>
        <v>1355854</v>
      </c>
      <c r="O22" s="38">
        <f t="shared" ca="1" si="17"/>
        <v>49.860038539046528</v>
      </c>
      <c r="P22" s="38">
        <f t="shared" ca="1" si="13"/>
        <v>85.996586405114172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1318814</v>
      </c>
      <c r="M28" s="23">
        <f t="shared" si="23"/>
        <v>0</v>
      </c>
      <c r="N28" s="23">
        <f t="shared" ca="1" si="23"/>
        <v>212559</v>
      </c>
      <c r="O28" s="22">
        <f t="shared" ref="O28:O30" ca="1" si="24">IF(L28&gt;0,N28*100/L28,0)</f>
        <v>16.117435817332847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1318814</v>
      </c>
      <c r="M30" s="30">
        <f t="shared" si="27"/>
        <v>0</v>
      </c>
      <c r="N30" s="30">
        <f t="shared" ca="1" si="27"/>
        <v>212559</v>
      </c>
      <c r="O30" s="29">
        <f t="shared" ca="1" si="24"/>
        <v>16.117435817332847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1318814</v>
      </c>
      <c r="M32" s="38">
        <f t="shared" si="30"/>
        <v>0</v>
      </c>
      <c r="N32" s="38">
        <f t="shared" ca="1" si="30"/>
        <v>212559</v>
      </c>
      <c r="O32" s="38">
        <f t="shared" ca="1" si="29"/>
        <v>16.117435817332847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1318814</v>
      </c>
      <c r="M34" s="38">
        <f t="shared" si="32"/>
        <v>0</v>
      </c>
      <c r="N34" s="38">
        <f t="shared" ca="1" si="32"/>
        <v>212559</v>
      </c>
      <c r="O34" s="38">
        <f t="shared" ca="1" si="29"/>
        <v>16.117435817332847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1701037</v>
      </c>
      <c r="N37" s="54">
        <f t="shared" ca="1" si="33"/>
        <v>1480254</v>
      </c>
      <c r="O37" s="55">
        <f t="shared" ca="1" si="29"/>
        <v>52.053437047247968</v>
      </c>
      <c r="P37" s="55">
        <f t="shared" ca="1" si="25"/>
        <v>87.020682089807565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420100</v>
      </c>
      <c r="N41" s="78">
        <f t="shared" ca="1" si="34"/>
        <v>392556</v>
      </c>
      <c r="O41" s="77">
        <f t="shared" ref="O41:O43" ca="1" si="35">IF(L41&gt;0,N41*100/L41,0)</f>
        <v>61.327292610529604</v>
      </c>
      <c r="P41" s="77">
        <f t="shared" ref="P41:P43" ca="1" si="36">IF(M41&gt;0,N41*100/M41,0)</f>
        <v>93.44346584146632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420100</v>
      </c>
      <c r="N43" s="78">
        <f t="shared" ca="1" si="38"/>
        <v>392556</v>
      </c>
      <c r="O43" s="77">
        <f t="shared" ca="1" si="35"/>
        <v>61.327292610529604</v>
      </c>
      <c r="P43" s="77">
        <f t="shared" ca="1" si="36"/>
        <v>93.44346584146632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IFERROR(__xludf.DUMMYFUNCTION("IMPORTRANGE(""https://docs.google.com/spreadsheets/d/1Yj_ptqi66GCucihVvJfMjLAmec39IyEx_6qawtMGysU/edit?usp=sharing"",""สบก!Q76"")"),420100)</f>
        <v>420100</v>
      </c>
      <c r="N45" s="49">
        <f ca="1">IFERROR(__xludf.DUMMYFUNCTION("IMPORTRANGE(""https://docs.google.com/spreadsheets/d/1Yj_ptqi66GCucihVvJfMjLAmec39IyEx_6qawtMGysU/edit?usp=sharing"",""สบก!R76"")"),392556)</f>
        <v>392556</v>
      </c>
      <c r="O45" s="38">
        <f ca="1">IF(L45&gt;0,N45*100/L45,0)</f>
        <v>61.327292610529604</v>
      </c>
      <c r="P45" s="38">
        <f ca="1">IF(M45&gt;0,N45*100/M45,0)</f>
        <v>93.44346584146632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239337</v>
      </c>
      <c r="N53" s="121">
        <f t="shared" ca="1" si="39"/>
        <v>223706</v>
      </c>
      <c r="O53" s="120">
        <f t="shared" ref="O53:O55" ca="1" si="40">IF(L53&gt;0,N53*100/L53,0)</f>
        <v>49.712444444444444</v>
      </c>
      <c r="P53" s="120">
        <f t="shared" ref="P53:P55" ca="1" si="41">IF(M53&gt;0,N53*100/M53,0)</f>
        <v>93.469041560644612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239337</v>
      </c>
      <c r="N55" s="121">
        <f t="shared" ca="1" si="43"/>
        <v>223706</v>
      </c>
      <c r="O55" s="120">
        <f t="shared" ca="1" si="40"/>
        <v>49.712444444444444</v>
      </c>
      <c r="P55" s="120">
        <f t="shared" ca="1" si="41"/>
        <v>93.469041560644612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IFERROR(__xludf.DUMMYFUNCTION("IMPORTRANGE(""https://docs.google.com/spreadsheets/d/1Yj_ptqi66GCucihVvJfMjLAmec39IyEx_6qawtMGysU/edit?usp=sharing"",""สบก!Z76"")"),239337)</f>
        <v>239337</v>
      </c>
      <c r="N57" s="49">
        <f ca="1">IFERROR(__xludf.DUMMYFUNCTION("IMPORTRANGE(""https://docs.google.com/spreadsheets/d/1Yj_ptqi66GCucihVvJfMjLAmec39IyEx_6qawtMGysU/edit?usp=sharing"",""สบก!AA76"")"),223706)</f>
        <v>223706</v>
      </c>
      <c r="O57" s="38">
        <f ca="1">IF(L57&gt;0,N57*100/L57,0)</f>
        <v>49.712444444444444</v>
      </c>
      <c r="P57" s="38">
        <f ca="1">IF(M57&gt;0,N57*100/M57,0)</f>
        <v>93.469041560644612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IFERROR(__xludf.DUMMYFUNCTION("IMPORTRANGE(""https://docs.google.com/spreadsheets/d/1Yj_ptqi66GCucihVvJfMjLAmec39IyEx_6qawtMGysU/edit?usp=sharing"",""สบก!AI76"")"),0)</f>
        <v>0</v>
      </c>
      <c r="N70" s="170">
        <f ca="1">IFERROR(__xludf.DUMMYFUNCTION("IMPORTRANGE(""https://docs.google.com/spreadsheets/d/1Yj_ptqi66GCucihVvJfMjLAmec39IyEx_6qawtMGysU/edit?usp=sharing"",""สบก!AJ76"")"),0)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IFERROR(__xludf.DUMMYFUNCTION("IMPORTRANGE(""https://docs.google.com/spreadsheets/d/1Yj_ptqi66GCucihVvJfMjLAmec39IyEx_6qawtMGysU/edit?usp=sharing"",""สบก!AE76"")"),0)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IFERROR(__xludf.DUMMYFUNCTION("IMPORTRANGE(""https://docs.google.com/spreadsheets/d/1Yj_ptqi66GCucihVvJfMjLAmec39IyEx_6qawtMGysU/edit?usp=sharing"",""สบก!AF76"")"),0)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IFERROR(__xludf.DUMMYFUNCTION("IMPORTRANGE(""https://docs.google.com/spreadsheets/d/1SX6NBoVAgQJ6U1MVXOaj8PK2l7WJ3RER9xtqwdhxkhw/edit?usp=sharing"",""สระบุรี!J16"")"),0)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IFERROR(__xludf.DUMMYFUNCTION("IMPORTRANGE(""https://docs.google.com/spreadsheets/d/1SX6NBoVAgQJ6U1MVXOaj8PK2l7WJ3RER9xtqwdhxkhw/edit?usp=sharing"",""สระบุรี!J17"")"),0)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IFERROR(__xludf.DUMMYFUNCTION("IMPORTRANGE(""https://docs.google.com/spreadsheets/d/1SX6NBoVAgQJ6U1MVXOaj8PK2l7WJ3RER9xtqwdhxkhw/edit?usp=sharing"",""สระบุรี!J18"")"),0)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IFERROR(__xludf.DUMMYFUNCTION("IMPORTRANGE(""https://docs.google.com/spreadsheets/d/1SX6NBoVAgQJ6U1MVXOaj8PK2l7WJ3RER9xtqwdhxkhw/edit?usp=sharing"",""สระบุรี!J19"")"),0)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IFERROR(__xludf.DUMMYFUNCTION("IMPORTRANGE(""https://docs.google.com/spreadsheets/d/1SX6NBoVAgQJ6U1MVXOaj8PK2l7WJ3RER9xtqwdhxkhw/edit?usp=sharing"",""สระบุรี!I20"")"),0)</f>
        <v>0</v>
      </c>
      <c r="J80" s="202">
        <f ca="1">IFERROR(__xludf.DUMMYFUNCTION("IMPORTRANGE(""https://docs.google.com/spreadsheets/d/1SX6NBoVAgQJ6U1MVXOaj8PK2l7WJ3RER9xtqwdhxkhw/edit?usp=sharing"",""สระบุรี!J20"")"),0)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IFERROR(__xludf.DUMMYFUNCTION("IMPORTRANGE(""https://docs.google.com/spreadsheets/d/1SX6NBoVAgQJ6U1MVXOaj8PK2l7WJ3RER9xtqwdhxkhw/edit?usp=sharing"",""สระบุรี!I21"")"),0)</f>
        <v>0</v>
      </c>
      <c r="J81" s="202">
        <f ca="1">IFERROR(__xludf.DUMMYFUNCTION("IMPORTRANGE(""https://docs.google.com/spreadsheets/d/1SX6NBoVAgQJ6U1MVXOaj8PK2l7WJ3RER9xtqwdhxkhw/edit?usp=sharing"",""สระบุรี!J21"")"),0)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IFERROR(__xludf.DUMMYFUNCTION("IMPORTRANGE(""https://docs.google.com/spreadsheets/d/1SX6NBoVAgQJ6U1MVXOaj8PK2l7WJ3RER9xtqwdhxkhw/edit?usp=sharing"",""สระบุรี!I22"")"),0)</f>
        <v>0</v>
      </c>
      <c r="J82" s="205">
        <f ca="1">IFERROR(__xludf.DUMMYFUNCTION("IMPORTRANGE(""https://docs.google.com/spreadsheets/d/1SX6NBoVAgQJ6U1MVXOaj8PK2l7WJ3RER9xtqwdhxkhw/edit?usp=sharing"",""สระบุรี!J22"")"),0)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IFERROR(__xludf.DUMMYFUNCTION("IMPORTRANGE(""https://docs.google.com/spreadsheets/d/1SX6NBoVAgQJ6U1MVXOaj8PK2l7WJ3RER9xtqwdhxkhw/edit?usp=sharing"",""สระบุรี!I23"")"),0)</f>
        <v>0</v>
      </c>
      <c r="J83" s="205">
        <f ca="1">IFERROR(__xludf.DUMMYFUNCTION("IMPORTRANGE(""https://docs.google.com/spreadsheets/d/1SX6NBoVAgQJ6U1MVXOaj8PK2l7WJ3RER9xtqwdhxkhw/edit?usp=sharing"",""สระบุรี!J23"")"),0)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IFERROR(__xludf.DUMMYFUNCTION("IMPORTRANGE(""https://docs.google.com/spreadsheets/d/1SX6NBoVAgQJ6U1MVXOaj8PK2l7WJ3RER9xtqwdhxkhw/edit?usp=sharing"",""สระบุรี!I24"")"),0)</f>
        <v>0</v>
      </c>
      <c r="J84" s="190">
        <f ca="1">IFERROR(__xludf.DUMMYFUNCTION("IMPORTRANGE(""https://docs.google.com/spreadsheets/d/1SX6NBoVAgQJ6U1MVXOaj8PK2l7WJ3RER9xtqwdhxkhw/edit?usp=sharing"",""สระบุรี!J24"")"),0)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IFERROR(__xludf.DUMMYFUNCTION("IMPORTRANGE(""https://docs.google.com/spreadsheets/d/1SX6NBoVAgQJ6U1MVXOaj8PK2l7WJ3RER9xtqwdhxkhw/edit?usp=sharing"",""สระบุรี!I25"")"),0)</f>
        <v>0</v>
      </c>
      <c r="J85" s="190">
        <f ca="1">IFERROR(__xludf.DUMMYFUNCTION("IMPORTRANGE(""https://docs.google.com/spreadsheets/d/1SX6NBoVAgQJ6U1MVXOaj8PK2l7WJ3RER9xtqwdhxkhw/edit?usp=sharing"",""สระบุรี!J25"")"),0)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IFERROR(__xludf.DUMMYFUNCTION("IMPORTRANGE(""https://docs.google.com/spreadsheets/d/1SX6NBoVAgQJ6U1MVXOaj8PK2l7WJ3RER9xtqwdhxkhw/edit?usp=sharing"",""สระบุรี!I26"")"),0)</f>
        <v>0</v>
      </c>
      <c r="J86" s="205">
        <f ca="1">IFERROR(__xludf.DUMMYFUNCTION("IMPORTRANGE(""https://docs.google.com/spreadsheets/d/1SX6NBoVAgQJ6U1MVXOaj8PK2l7WJ3RER9xtqwdhxkhw/edit?usp=sharing"",""สระบุรี!J26"")"),0)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IFERROR(__xludf.DUMMYFUNCTION("IMPORTRANGE(""https://docs.google.com/spreadsheets/d/1SX6NBoVAgQJ6U1MVXOaj8PK2l7WJ3RER9xtqwdhxkhw/edit?usp=sharing"",""สระบุรี!I27"")"),0)</f>
        <v>0</v>
      </c>
      <c r="J87" s="205">
        <f ca="1">IFERROR(__xludf.DUMMYFUNCTION("IMPORTRANGE(""https://docs.google.com/spreadsheets/d/1SX6NBoVAgQJ6U1MVXOaj8PK2l7WJ3RER9xtqwdhxkhw/edit?usp=sharing"",""สระบุรี!J27"")"),0)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IFERROR(__xludf.DUMMYFUNCTION("IMPORTRANGE(""https://docs.google.com/spreadsheets/d/1SX6NBoVAgQJ6U1MVXOaj8PK2l7WJ3RER9xtqwdhxkhw/edit?usp=sharing"",""สระบุรี!I28"")"),0)</f>
        <v>0</v>
      </c>
      <c r="J88" s="205">
        <f ca="1">IFERROR(__xludf.DUMMYFUNCTION("IMPORTRANGE(""https://docs.google.com/spreadsheets/d/1SX6NBoVAgQJ6U1MVXOaj8PK2l7WJ3RER9xtqwdhxkhw/edit?usp=sharing"",""สระบุรี!J28"")"),0)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IFERROR(__xludf.DUMMYFUNCTION("IMPORTRANGE(""https://docs.google.com/spreadsheets/d/1SX6NBoVAgQJ6U1MVXOaj8PK2l7WJ3RER9xtqwdhxkhw/edit?usp=sharing"",""สระบุรี!J29"")"),0)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157920</v>
      </c>
      <c r="O94" s="151">
        <f t="shared" ref="O94:O96" ca="1" si="53">IF(L94&gt;0,N94*100/L94,0)</f>
        <v>73.622377622377627</v>
      </c>
      <c r="P94" s="151">
        <f t="shared" ref="P94:P96" ca="1" si="54">IF(M94&gt;0,N94*100/M94,0)</f>
        <v>98.007819772854219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157920</v>
      </c>
      <c r="O96" s="156">
        <f t="shared" ca="1" si="53"/>
        <v>73.622377622377627</v>
      </c>
      <c r="P96" s="156">
        <f t="shared" ca="1" si="54"/>
        <v>98.007819772854219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IFERROR(__xludf.DUMMYFUNCTION("IMPORTRANGE(""https://docs.google.com/spreadsheets/d/1Yj_ptqi66GCucihVvJfMjLAmec39IyEx_6qawtMGysU/edit?usp=sharing"",""สบก!AR76"")"),68730)</f>
        <v>68730</v>
      </c>
      <c r="N98" s="170">
        <f ca="1">IFERROR(__xludf.DUMMYFUNCTION("IMPORTRANGE(""https://docs.google.com/spreadsheets/d/1Yj_ptqi66GCucihVvJfMjLAmec39IyEx_6qawtMGysU/edit?usp=sharing"",""สบก!AS76"")"),65520)</f>
        <v>65520</v>
      </c>
      <c r="O98" s="170">
        <f ca="1">IF(L98&gt;0,N98*100/L98,0)</f>
        <v>53.660933660933658</v>
      </c>
      <c r="P98" s="170">
        <f ca="1">IF(M98&gt;0,N98*100/M98,0)</f>
        <v>95.329550414666087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IFERROR(__xludf.DUMMYFUNCTION("IMPORTRANGE(""https://docs.google.com/spreadsheets/d/1Yj_ptqi66GCucihVvJfMjLAmec39IyEx_6qawtMGysU/edit?usp=sharing"",""สบก!AN76"")"),0)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IFERROR(__xludf.DUMMYFUNCTION("IMPORTRANGE(""https://docs.google.com/spreadsheets/d/1Yj_ptqi66GCucihVvJfMjLAmec39IyEx_6qawtMGysU/edit?usp=sharing"",""สบก!AO76"")"),122100)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IFERROR(__xludf.DUMMYFUNCTION("IMPORTRANGE(""https://docs.google.com/spreadsheets/d/1SX6NBoVAgQJ6U1MVXOaj8PK2l7WJ3RER9xtqwdhxkhw/edit?usp=sharing"",""สระบุรี!J40"")"),1)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IFERROR(__xludf.DUMMYFUNCTION("IMPORTRANGE(""https://docs.google.com/spreadsheets/d/1SX6NBoVAgQJ6U1MVXOaj8PK2l7WJ3RER9xtqwdhxkhw/edit?usp=sharing"",""สระบุรี!J41"")"),1)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IFERROR(__xludf.DUMMYFUNCTION("IMPORTRANGE(""https://docs.google.com/spreadsheets/d/1SX6NBoVAgQJ6U1MVXOaj8PK2l7WJ3RER9xtqwdhxkhw/edit?usp=sharing"",""สระบุรี!J42"")"),1)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IFERROR(__xludf.DUMMYFUNCTION("IMPORTRANGE(""https://docs.google.com/spreadsheets/d/1SX6NBoVAgQJ6U1MVXOaj8PK2l7WJ3RER9xtqwdhxkhw/edit?usp=sharing"",""สระบุรี!I43"")"),1)</f>
        <v>1</v>
      </c>
      <c r="J108" s="205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IFERROR(__xludf.DUMMYFUNCTION("IMPORTRANGE(""https://docs.google.com/spreadsheets/d/1SX6NBoVAgQJ6U1MVXOaj8PK2l7WJ3RER9xtqwdhxkhw/edit?usp=sharing"",""สระบุรี!I44"")"),4)</f>
        <v>4</v>
      </c>
      <c r="J109" s="205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IFERROR(__xludf.DUMMYFUNCTION("IMPORTRANGE(""https://docs.google.com/spreadsheets/d/1SX6NBoVAgQJ6U1MVXOaj8PK2l7WJ3RER9xtqwdhxkhw/edit?usp=sharing"",""สระบุรี!I45"")"),4)</f>
        <v>4</v>
      </c>
      <c r="J110" s="205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IFERROR(__xludf.DUMMYFUNCTION("IMPORTRANGE(""https://docs.google.com/spreadsheets/d/1SX6NBoVAgQJ6U1MVXOaj8PK2l7WJ3RER9xtqwdhxkhw/edit?usp=sharing"",""สระบุรี!I46"")"),4)</f>
        <v>4</v>
      </c>
      <c r="J111" s="205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IFERROR(__xludf.DUMMYFUNCTION("IMPORTRANGE(""https://docs.google.com/spreadsheets/d/1SX6NBoVAgQJ6U1MVXOaj8PK2l7WJ3RER9xtqwdhxkhw/edit?usp=sharing"",""สระบุรี!I47"")"),4)</f>
        <v>4</v>
      </c>
      <c r="J112" s="205">
        <f ca="1">IFERROR(__xludf.DUMMYFUNCTION("IMPORTRANGE(""https://docs.google.com/spreadsheets/d/1SX6NBoVAgQJ6U1MVXOaj8PK2l7WJ3RER9xtqwdhxkhw/edit?usp=sharing"",""สระบุรี!J47"")"),0)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IFERROR(__xludf.DUMMYFUNCTION("IMPORTRANGE(""https://docs.google.com/spreadsheets/d/1SX6NBoVAgQJ6U1MVXOaj8PK2l7WJ3RER9xtqwdhxkhw/edit?usp=sharing"",""สระบุรี!I48"")"),1)</f>
        <v>1</v>
      </c>
      <c r="J113" s="205">
        <f ca="1">IFERROR(__xludf.DUMMYFUNCTION("IMPORTRANGE(""https://docs.google.com/spreadsheets/d/1SX6NBoVAgQJ6U1MVXOaj8PK2l7WJ3RER9xtqwdhxkhw/edit?usp=sharing"",""สระบุรี!J48"")"),0)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IFERROR(__xludf.DUMMYFUNCTION("IMPORTRANGE(""https://docs.google.com/spreadsheets/d/1SX6NBoVAgQJ6U1MVXOaj8PK2l7WJ3RER9xtqwdhxkhw/edit?usp=sharing"",""สระบุรี!J49"")"),0)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IFERROR(__xludf.DUMMYFUNCTION("IMPORTRANGE(""https://docs.google.com/spreadsheets/d/1SX6NBoVAgQJ6U1MVXOaj8PK2l7WJ3RER9xtqwdhxkhw/edit?usp=sharing"",""สระบุรี!J50"")"),0)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64890</v>
      </c>
      <c r="M118" s="152">
        <f t="shared" ca="1" si="58"/>
        <v>52890</v>
      </c>
      <c r="N118" s="152">
        <f t="shared" ca="1" si="58"/>
        <v>37140</v>
      </c>
      <c r="O118" s="151">
        <f t="shared" ref="O118:O120" ca="1" si="59">IF(L118&gt;0,N118*100/L118,0)</f>
        <v>57.235321312991218</v>
      </c>
      <c r="P118" s="151">
        <f t="shared" ref="P118:P120" ca="1" si="60">IF(M118&gt;0,N118*100/M118,0)</f>
        <v>70.22121384004538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64890</v>
      </c>
      <c r="M120" s="157">
        <f t="shared" ca="1" si="62"/>
        <v>52890</v>
      </c>
      <c r="N120" s="157">
        <f t="shared" ca="1" si="62"/>
        <v>37140</v>
      </c>
      <c r="O120" s="156">
        <f t="shared" ca="1" si="59"/>
        <v>57.235321312991218</v>
      </c>
      <c r="P120" s="156">
        <f t="shared" ca="1" si="60"/>
        <v>70.22121384004538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64890</v>
      </c>
      <c r="M122" s="169">
        <f ca="1">IFERROR(__xludf.DUMMYFUNCTION("IMPORTRANGE(""https://docs.google.com/spreadsheets/d/1Yj_ptqi66GCucihVvJfMjLAmec39IyEx_6qawtMGysU/edit?usp=sharing"",""สบก!BA76"")"),52890)</f>
        <v>52890</v>
      </c>
      <c r="N122" s="170">
        <f ca="1">IFERROR(__xludf.DUMMYFUNCTION("IMPORTRANGE(""https://docs.google.com/spreadsheets/d/1Yj_ptqi66GCucihVvJfMjLAmec39IyEx_6qawtMGysU/edit?usp=sharing"",""สบก!BB76"")"),37140)</f>
        <v>37140</v>
      </c>
      <c r="O122" s="170">
        <f ca="1">IF(L122&gt;0,N122*100/L122,0)</f>
        <v>57.235321312991218</v>
      </c>
      <c r="P122" s="170">
        <f ca="1">IF(M122&gt;0,N122*100/M122,0)</f>
        <v>70.22121384004538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IFERROR(__xludf.DUMMYFUNCTION("IMPORTRANGE(""https://docs.google.com/spreadsheets/d/1Yj_ptqi66GCucihVvJfMjLAmec39IyEx_6qawtMGysU/edit?usp=sharing"",""สบก!AW76"")"),0)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IFERROR(__xludf.DUMMYFUNCTION("IMPORTRANGE(""https://docs.google.com/spreadsheets/d/1Yj_ptqi66GCucihVvJfMjLAmec39IyEx_6qawtMGysU/edit?usp=sharing"",""สบก!AX76"")"),64890)</f>
        <v>64890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273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IFERROR(__xludf.DUMMYFUNCTION("IMPORTRANGE(""https://docs.google.com/spreadsheets/d/1SX6NBoVAgQJ6U1MVXOaj8PK2l7WJ3RER9xtqwdhxkhw/edit?usp=sharing"",""สระบุรี!J59"")"),1)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IFERROR(__xludf.DUMMYFUNCTION("IMPORTRANGE(""https://docs.google.com/spreadsheets/d/1SX6NBoVAgQJ6U1MVXOaj8PK2l7WJ3RER9xtqwdhxkhw/edit?usp=sharing"",""สระบุรี!J60"")"),1)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IFERROR(__xludf.DUMMYFUNCTION("IMPORTRANGE(""https://docs.google.com/spreadsheets/d/1SX6NBoVAgQJ6U1MVXOaj8PK2l7WJ3RER9xtqwdhxkhw/edit?usp=sharing"",""สระบุรี!J61"")"),1)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IFERROR(__xludf.DUMMYFUNCTION("IMPORTRANGE(""https://docs.google.com/spreadsheets/d/1SX6NBoVAgQJ6U1MVXOaj8PK2l7WJ3RER9xtqwdhxkhw/edit?usp=sharing"",""สระบุรี!I62"")"),15)</f>
        <v>15</v>
      </c>
      <c r="J132" s="205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IFERROR(__xludf.DUMMYFUNCTION("IMPORTRANGE(""https://docs.google.com/spreadsheets/d/1SX6NBoVAgQJ6U1MVXOaj8PK2l7WJ3RER9xtqwdhxkhw/edit?usp=sharing"",""สระบุรี!I63"")"),15)</f>
        <v>15</v>
      </c>
      <c r="J133" s="205">
        <f ca="1">IFERROR(__xludf.DUMMYFUNCTION("IMPORTRANGE(""https://docs.google.com/spreadsheets/d/1SX6NBoVAgQJ6U1MVXOaj8PK2l7WJ3RER9xtqwdhxkhw/edit?usp=sharing"",""สระบุรี!J63"")"),0)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IFERROR(__xludf.DUMMYFUNCTION("IMPORTRANGE(""https://docs.google.com/spreadsheets/d/1SX6NBoVAgQJ6U1MVXOaj8PK2l7WJ3RER9xtqwdhxkhw/edit?usp=sharing"",""สระบุรี!J64"")"),0)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374200</v>
      </c>
      <c r="M140" s="152">
        <f t="shared" ca="1" si="64"/>
        <v>219550</v>
      </c>
      <c r="N140" s="152">
        <f t="shared" ca="1" si="64"/>
        <v>197322</v>
      </c>
      <c r="O140" s="151">
        <f t="shared" ref="O140:O142" ca="1" si="65">IF(L140&gt;0,N140*100/L140,0)</f>
        <v>52.73169428113308</v>
      </c>
      <c r="P140" s="151">
        <f t="shared" ref="P140:P142" ca="1" si="66">IF(M140&gt;0,N140*100/M140,0)</f>
        <v>89.875654748348893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374200</v>
      </c>
      <c r="M142" s="157">
        <f t="shared" ca="1" si="68"/>
        <v>219550</v>
      </c>
      <c r="N142" s="157">
        <f t="shared" ca="1" si="68"/>
        <v>197322</v>
      </c>
      <c r="O142" s="156">
        <f t="shared" ca="1" si="65"/>
        <v>52.73169428113308</v>
      </c>
      <c r="P142" s="156">
        <f t="shared" ca="1" si="66"/>
        <v>89.875654748348893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374200</v>
      </c>
      <c r="M144" s="169">
        <f ca="1">IFERROR(__xludf.DUMMYFUNCTION("IMPORTRANGE(""https://docs.google.com/spreadsheets/d/1Yj_ptqi66GCucihVvJfMjLAmec39IyEx_6qawtMGysU/edit?usp=sharing"",""สบก!BJ76"")"),219550)</f>
        <v>219550</v>
      </c>
      <c r="N144" s="170">
        <f ca="1">IFERROR(__xludf.DUMMYFUNCTION("IMPORTRANGE(""https://docs.google.com/spreadsheets/d/1Yj_ptqi66GCucihVvJfMjLAmec39IyEx_6qawtMGysU/edit?usp=sharing"",""สบก!BK76"")"),197322)</f>
        <v>197322</v>
      </c>
      <c r="O144" s="170">
        <f ca="1">IF(L144&gt;0,N144*100/L144,0)</f>
        <v>52.73169428113308</v>
      </c>
      <c r="P144" s="170">
        <f ca="1">IF(M144&gt;0,N144*100/M144,0)</f>
        <v>89.875654748348893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IFERROR(__xludf.DUMMYFUNCTION("IMPORTRANGE(""https://docs.google.com/spreadsheets/d/1Yj_ptqi66GCucihVvJfMjLAmec39IyEx_6qawtMGysU/edit?usp=sharing"",""สบก!BF76"")"),301600)</f>
        <v>301600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IFERROR(__xludf.DUMMYFUNCTION("IMPORTRANGE(""https://docs.google.com/spreadsheets/d/1Yj_ptqi66GCucihVvJfMjLAmec39IyEx_6qawtMGysU/edit?usp=sharing"",""สบก!BG76"")"),72600)</f>
        <v>72600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IFERROR(__xludf.DUMMYFUNCTION("IMPORTRANGE(""https://docs.google.com/spreadsheets/d/1SX6NBoVAgQJ6U1MVXOaj8PK2l7WJ3RER9xtqwdhxkhw/edit?usp=sharing"",""สระบุรี!J79"")"),0)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IFERROR(__xludf.DUMMYFUNCTION("IMPORTRANGE(""https://docs.google.com/spreadsheets/d/1SX6NBoVAgQJ6U1MVXOaj8PK2l7WJ3RER9xtqwdhxkhw/edit?usp=sharing"",""สระบุรี!J80"")"),1)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IFERROR(__xludf.DUMMYFUNCTION("IMPORTRANGE(""https://docs.google.com/spreadsheets/d/1SX6NBoVAgQJ6U1MVXOaj8PK2l7WJ3RER9xtqwdhxkhw/edit?usp=sharing"",""สระบุรี!J81"")"),0)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IFERROR(__xludf.DUMMYFUNCTION("IMPORTRANGE(""https://docs.google.com/spreadsheets/d/1SX6NBoVAgQJ6U1MVXOaj8PK2l7WJ3RER9xtqwdhxkhw/edit?usp=sharing"",""สระบุรี!J82"")"),0)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IFERROR(__xludf.DUMMYFUNCTION("IMPORTRANGE(""https://docs.google.com/spreadsheets/d/1SX6NBoVAgQJ6U1MVXOaj8PK2l7WJ3RER9xtqwdhxkhw/edit?usp=sharing"",""สระบุรี!I83"")"),4)</f>
        <v>4</v>
      </c>
      <c r="J158" s="190">
        <f ca="1">IFERROR(__xludf.DUMMYFUNCTION("IMPORTRANGE(""https://docs.google.com/spreadsheets/d/1SX6NBoVAgQJ6U1MVXOaj8PK2l7WJ3RER9xtqwdhxkhw/edit?usp=sharing"",""สระบุรี!J83"")"),2)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IFERROR(__xludf.DUMMYFUNCTION("IMPORTRANGE(""https://docs.google.com/spreadsheets/d/1SX6NBoVAgQJ6U1MVXOaj8PK2l7WJ3RER9xtqwdhxkhw/edit?usp=sharing"",""สระบุรี!J84"")"),0)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IFERROR(__xludf.DUMMYFUNCTION("IMPORTRANGE(""https://docs.google.com/spreadsheets/d/1SX6NBoVAgQJ6U1MVXOaj8PK2l7WJ3RER9xtqwdhxkhw/edit?usp=sharing"",""สระบุรี!J85"")"),0)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IFERROR(__xludf.DUMMYFUNCTION("IMPORTRANGE(""https://docs.google.com/spreadsheets/d/1SX6NBoVAgQJ6U1MVXOaj8PK2l7WJ3RER9xtqwdhxkhw/edit?usp=sharing"",""สระบุรี!J86"")"),0)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IFERROR(__xludf.DUMMYFUNCTION("IMPORTRANGE(""https://docs.google.com/spreadsheets/d/1SX6NBoVAgQJ6U1MVXOaj8PK2l7WJ3RER9xtqwdhxkhw/edit?usp=sharing"",""สระบุรี!J87"")"),0)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IFERROR(__xludf.DUMMYFUNCTION("IMPORTRANGE(""https://docs.google.com/spreadsheets/d/1SX6NBoVAgQJ6U1MVXOaj8PK2l7WJ3RER9xtqwdhxkhw/edit?usp=sharing"",""สระบุรี!J88"")"),0)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IFERROR(__xludf.DUMMYFUNCTION("IMPORTRANGE(""https://docs.google.com/spreadsheets/d/1SX6NBoVAgQJ6U1MVXOaj8PK2l7WJ3RER9xtqwdhxkhw/edit?usp=sharing"",""สระบุรี!I89"")"),3)</f>
        <v>3</v>
      </c>
      <c r="J164" s="284">
        <f ca="1">IFERROR(__xludf.DUMMYFUNCTION("IMPORTRANGE(""https://docs.google.com/spreadsheets/d/1SX6NBoVAgQJ6U1MVXOaj8PK2l7WJ3RER9xtqwdhxkhw/edit?usp=sharing"",""สระบุรี!J89"")"),3)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IFERROR(__xludf.DUMMYFUNCTION("IMPORTRANGE(""https://docs.google.com/spreadsheets/d/1SX6NBoVAgQJ6U1MVXOaj8PK2l7WJ3RER9xtqwdhxkhw/edit?usp=sharing"",""สระบุรี!J94"")"),0)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IFERROR(__xludf.DUMMYFUNCTION("IMPORTRANGE(""https://docs.google.com/spreadsheets/d/1SX6NBoVAgQJ6U1MVXOaj8PK2l7WJ3RER9xtqwdhxkhw/edit?usp=sharing"",""สระบุรี!J95"")"),1)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IFERROR(__xludf.DUMMYFUNCTION("IMPORTRANGE(""https://docs.google.com/spreadsheets/d/1SX6NBoVAgQJ6U1MVXOaj8PK2l7WJ3RER9xtqwdhxkhw/edit?usp=sharing"",""สระบุรี!J96"")"),1)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IFERROR(__xludf.DUMMYFUNCTION("IMPORTRANGE(""https://docs.google.com/spreadsheets/d/1SX6NBoVAgQJ6U1MVXOaj8PK2l7WJ3RER9xtqwdhxkhw/edit?usp=sharing"",""สระบุรี!J97"")"),1)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IFERROR(__xludf.DUMMYFUNCTION("IMPORTRANGE(""https://docs.google.com/spreadsheets/d/1SX6NBoVAgQJ6U1MVXOaj8PK2l7WJ3RER9xtqwdhxkhw/edit?usp=sharing"",""สระบุรี!I98"")"),3)</f>
        <v>3</v>
      </c>
      <c r="J173" s="190">
        <f ca="1">IFERROR(__xludf.DUMMYFUNCTION("IMPORTRANGE(""https://docs.google.com/spreadsheets/d/1SX6NBoVAgQJ6U1MVXOaj8PK2l7WJ3RER9xtqwdhxkhw/edit?usp=sharing"",""สระบุรี!J98"")"),3)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IFERROR(__xludf.DUMMYFUNCTION("IMPORTRANGE(""https://docs.google.com/spreadsheets/d/1SX6NBoVAgQJ6U1MVXOaj8PK2l7WJ3RER9xtqwdhxkhw/edit?usp=sharing"",""สระบุรี!J99"")"),1)</f>
        <v>1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IFERROR(__xludf.DUMMYFUNCTION("IMPORTRANGE(""https://docs.google.com/spreadsheets/d/1SX6NBoVAgQJ6U1MVXOaj8PK2l7WJ3RER9xtqwdhxkhw/edit?usp=sharing"",""สระบุรี!J100"")"),0)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IFERROR(__xludf.DUMMYFUNCTION("IMPORTRANGE(""https://docs.google.com/spreadsheets/d/1SX6NBoVAgQJ6U1MVXOaj8PK2l7WJ3RER9xtqwdhxkhw/edit?usp=sharing"",""สระบุรี!I101"")"),0)</f>
        <v>0</v>
      </c>
      <c r="J176" s="284">
        <f ca="1">IFERROR(__xludf.DUMMYFUNCTION("IMPORTRANGE(""https://docs.google.com/spreadsheets/d/1SX6NBoVAgQJ6U1MVXOaj8PK2l7WJ3RER9xtqwdhxkhw/edit?usp=sharing"",""สระบุรี!J101"")"),0)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IFERROR(__xludf.DUMMYFUNCTION("IMPORTRANGE(""https://docs.google.com/spreadsheets/d/1SX6NBoVAgQJ6U1MVXOaj8PK2l7WJ3RER9xtqwdhxkhw/edit?usp=sharing"",""สระบุรี!I110"")"),0)</f>
        <v>0</v>
      </c>
      <c r="J185" s="205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IFERROR(__xludf.DUMMYFUNCTION("IMPORTRANGE(""https://docs.google.com/spreadsheets/d/1SX6NBoVAgQJ6U1MVXOaj8PK2l7WJ3RER9xtqwdhxkhw/edit?usp=sharing"",""สระบุรี!I111"")"),0)</f>
        <v>0</v>
      </c>
      <c r="J186" s="205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IFERROR(__xludf.DUMMYFUNCTION("IMPORTRANGE(""https://docs.google.com/spreadsheets/d/1SX6NBoVAgQJ6U1MVXOaj8PK2l7WJ3RER9xtqwdhxkhw/edit?usp=sharing"",""สระบุรี!I114"")"),12800)</f>
        <v>12800</v>
      </c>
      <c r="J189" s="284">
        <f ca="1">IFERROR(__xludf.DUMMYFUNCTION("IMPORTRANGE(""https://docs.google.com/spreadsheets/d/1SX6NBoVAgQJ6U1MVXOaj8PK2l7WJ3RER9xtqwdhxkhw/edit?usp=sharing"",""สระบุรี!J114"")"),0)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IFERROR(__xludf.DUMMYFUNCTION("IMPORTRANGE(""https://docs.google.com/spreadsheets/d/1SX6NBoVAgQJ6U1MVXOaj8PK2l7WJ3RER9xtqwdhxkhw/edit?usp=sharing"",""สระบุรี!J119"")"),1)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IFERROR(__xludf.DUMMYFUNCTION("IMPORTRANGE(""https://docs.google.com/spreadsheets/d/1SX6NBoVAgQJ6U1MVXOaj8PK2l7WJ3RER9xtqwdhxkhw/edit?usp=sharing"",""สระบุรี!J120"")"),0)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IFERROR(__xludf.DUMMYFUNCTION("IMPORTRANGE(""https://docs.google.com/spreadsheets/d/1SX6NBoVAgQJ6U1MVXOaj8PK2l7WJ3RER9xtqwdhxkhw/edit?usp=sharing"",""สระบุรี!J121"")"),0)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IFERROR(__xludf.DUMMYFUNCTION("IMPORTRANGE(""https://docs.google.com/spreadsheets/d/1SX6NBoVAgQJ6U1MVXOaj8PK2l7WJ3RER9xtqwdhxkhw/edit?usp=sharing"",""สระบุรี!J122"")"),0)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IFERROR(__xludf.DUMMYFUNCTION("IMPORTRANGE(""https://docs.google.com/spreadsheets/d/1SX6NBoVAgQJ6U1MVXOaj8PK2l7WJ3RER9xtqwdhxkhw/edit?usp=sharing"",""สระบุรี!I124"")"),12800)</f>
        <v>12800</v>
      </c>
      <c r="J199" s="190">
        <f ca="1">IFERROR(__xludf.DUMMYFUNCTION("IMPORTRANGE(""https://docs.google.com/spreadsheets/d/1SX6NBoVAgQJ6U1MVXOaj8PK2l7WJ3RER9xtqwdhxkhw/edit?usp=sharing"",""สระบุรี!J124"")"),0)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IFERROR(__xludf.DUMMYFUNCTION("IMPORTRANGE(""https://docs.google.com/spreadsheets/d/1SX6NBoVAgQJ6U1MVXOaj8PK2l7WJ3RER9xtqwdhxkhw/edit?usp=sharing"",""สระบุรี!I125"")"),12800)</f>
        <v>12800</v>
      </c>
      <c r="J200" s="190">
        <f ca="1">IFERROR(__xludf.DUMMYFUNCTION("IMPORTRANGE(""https://docs.google.com/spreadsheets/d/1SX6NBoVAgQJ6U1MVXOaj8PK2l7WJ3RER9xtqwdhxkhw/edit?usp=sharing"",""สระบุรี!J125"")"),0)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IFERROR(__xludf.DUMMYFUNCTION("IMPORTRANGE(""https://docs.google.com/spreadsheets/d/1SX6NBoVAgQJ6U1MVXOaj8PK2l7WJ3RER9xtqwdhxkhw/edit?usp=sharing"",""สระบุรี!I126"")"),15)</f>
        <v>15</v>
      </c>
      <c r="J201" s="190">
        <f ca="1">IFERROR(__xludf.DUMMYFUNCTION("IMPORTRANGE(""https://docs.google.com/spreadsheets/d/1SX6NBoVAgQJ6U1MVXOaj8PK2l7WJ3RER9xtqwdhxkhw/edit?usp=sharing"",""สระบุรี!J126"")"),15)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IFERROR(__xludf.DUMMYFUNCTION("IMPORTRANGE(""https://docs.google.com/spreadsheets/d/1SX6NBoVAgQJ6U1MVXOaj8PK2l7WJ3RER9xtqwdhxkhw/edit?usp=sharing"",""สระบุรี!J127"")"),0)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IFERROR(__xludf.DUMMYFUNCTION("IMPORTRANGE(""https://docs.google.com/spreadsheets/d/1SX6NBoVAgQJ6U1MVXOaj8PK2l7WJ3RER9xtqwdhxkhw/edit?usp=sharing"",""สระบุรี!J128"")"),0)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IFERROR(__xludf.DUMMYFUNCTION("IMPORTRANGE(""https://docs.google.com/spreadsheets/d/1SX6NBoVAgQJ6U1MVXOaj8PK2l7WJ3RER9xtqwdhxkhw/edit?usp=sharing"",""สระบุรี!I129"")"),0)</f>
        <v>0</v>
      </c>
      <c r="J204" s="284">
        <f ca="1">IFERROR(__xludf.DUMMYFUNCTION("IMPORTRANGE(""https://docs.google.com/spreadsheets/d/1SX6NBoVAgQJ6U1MVXOaj8PK2l7WJ3RER9xtqwdhxkhw/edit?usp=sharing"",""สระบุรี!J129"")"),0)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IFERROR(__xludf.DUMMYFUNCTION("IMPORTRANGE(""https://docs.google.com/spreadsheets/d/1SX6NBoVAgQJ6U1MVXOaj8PK2l7WJ3RER9xtqwdhxkhw/edit?usp=sharing"",""สระบุรี!I138"")"),0)</f>
        <v>0</v>
      </c>
      <c r="J213" s="205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IFERROR(__xludf.DUMMYFUNCTION("IMPORTRANGE(""https://docs.google.com/spreadsheets/d/1SX6NBoVAgQJ6U1MVXOaj8PK2l7WJ3RER9xtqwdhxkhw/edit?usp=sharing"",""สระบุรี!I140"")"),0)</f>
        <v>0</v>
      </c>
      <c r="J215" s="205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IFERROR(__xludf.DUMMYFUNCTION("IMPORTRANGE(""https://docs.google.com/spreadsheets/d/1SX6NBoVAgQJ6U1MVXOaj8PK2l7WJ3RER9xtqwdhxkhw/edit?usp=sharing"",""สระบุรี!I141"")"),0)</f>
        <v>0</v>
      </c>
      <c r="J216" s="205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19105</v>
      </c>
      <c r="O220" s="151">
        <f t="shared" ref="O220:O222" ca="1" si="73">IF(L220&gt;0,N220*100/L220,0)</f>
        <v>94.532409698169218</v>
      </c>
      <c r="P220" s="151">
        <f t="shared" ref="P220:P222" ca="1" si="74">IF(M220&gt;0,N220*100/M220,0)</f>
        <v>94.532409698169218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19105</v>
      </c>
      <c r="O222" s="156">
        <f t="shared" ca="1" si="73"/>
        <v>94.532409698169218</v>
      </c>
      <c r="P222" s="156">
        <f t="shared" ca="1" si="74"/>
        <v>94.532409698169218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IFERROR(__xludf.DUMMYFUNCTION("IMPORTRANGE(""https://docs.google.com/spreadsheets/d/1Yj_ptqi66GCucihVvJfMjLAmec39IyEx_6qawtMGysU/edit?usp=sharing"",""สบก!BS76"")"),20210)</f>
        <v>20210</v>
      </c>
      <c r="N224" s="170">
        <f ca="1">IFERROR(__xludf.DUMMYFUNCTION("IMPORTRANGE(""https://docs.google.com/spreadsheets/d/1Yj_ptqi66GCucihVvJfMjLAmec39IyEx_6qawtMGysU/edit?usp=sharing"",""สบก!BT76"")"),19105)</f>
        <v>19105</v>
      </c>
      <c r="O224" s="170">
        <f ca="1">IF(L224&gt;0,N224*100/L224,0)</f>
        <v>94.532409698169218</v>
      </c>
      <c r="P224" s="170">
        <f ca="1">IF(M224&gt;0,N224*100/M224,0)</f>
        <v>94.532409698169218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IFERROR(__xludf.DUMMYFUNCTION("IMPORTRANGE(""https://docs.google.com/spreadsheets/d/1Yj_ptqi66GCucihVvJfMjLAmec39IyEx_6qawtMGysU/edit?usp=sharing"",""สบก!BO76"")"),0)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IFERROR(__xludf.DUMMYFUNCTION("IMPORTRANGE(""https://docs.google.com/spreadsheets/d/1Yj_ptqi66GCucihVvJfMjLAmec39IyEx_6qawtMGysU/edit?usp=sharing"",""สบก!BP76"")"),20210)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IFERROR(__xludf.DUMMYFUNCTION("IMPORTRANGE(""https://docs.google.com/spreadsheets/d/1SX6NBoVAgQJ6U1MVXOaj8PK2l7WJ3RER9xtqwdhxkhw/edit?usp=sharing"",""สระบุรี!J151"")"),0)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IFERROR(__xludf.DUMMYFUNCTION("IMPORTRANGE(""https://docs.google.com/spreadsheets/d/1SX6NBoVAgQJ6U1MVXOaj8PK2l7WJ3RER9xtqwdhxkhw/edit?usp=sharing"",""สระบุรี!J152"")"),1)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IFERROR(__xludf.DUMMYFUNCTION("IMPORTRANGE(""https://docs.google.com/spreadsheets/d/1SX6NBoVAgQJ6U1MVXOaj8PK2l7WJ3RER9xtqwdhxkhw/edit?usp=sharing"",""สระบุรี!J153"")"),1)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IFERROR(__xludf.DUMMYFUNCTION("IMPORTRANGE(""https://docs.google.com/spreadsheets/d/1SX6NBoVAgQJ6U1MVXOaj8PK2l7WJ3RER9xtqwdhxkhw/edit?usp=sharing"",""สระบุรี!J154"")"),1)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IFERROR(__xludf.DUMMYFUNCTION("IMPORTRANGE(""https://docs.google.com/spreadsheets/d/1SX6NBoVAgQJ6U1MVXOaj8PK2l7WJ3RER9xtqwdhxkhw/edit?usp=sharing"",""สระบุรี!I155"")"),14)</f>
        <v>14</v>
      </c>
      <c r="J235" s="190">
        <f ca="1">IFERROR(__xludf.DUMMYFUNCTION("IMPORTRANGE(""https://docs.google.com/spreadsheets/d/1SX6NBoVAgQJ6U1MVXOaj8PK2l7WJ3RER9xtqwdhxkhw/edit?usp=sharing"",""สระบุรี!J155"")"),14)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IFERROR(__xludf.DUMMYFUNCTION("IMPORTRANGE(""https://docs.google.com/spreadsheets/d/1SX6NBoVAgQJ6U1MVXOaj8PK2l7WJ3RER9xtqwdhxkhw/edit?usp=sharing"",""สระบุรี!J156"")"),0)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IFERROR(__xludf.DUMMYFUNCTION("IMPORTRANGE(""https://docs.google.com/spreadsheets/d/1SX6NBoVAgQJ6U1MVXOaj8PK2l7WJ3RER9xtqwdhxkhw/edit?usp=sharing"",""สระบุรี!J157"")"),0)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IFERROR(__xludf.DUMMYFUNCTION("IMPORTRANGE(""https://docs.google.com/spreadsheets/d/1SX6NBoVAgQJ6U1MVXOaj8PK2l7WJ3RER9xtqwdhxkhw/edit?usp=sharing"",""สระบุรี!J159"")"),"")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IFERROR(__xludf.DUMMYFUNCTION("IMPORTRANGE(""https://docs.google.com/spreadsheets/d/1SX6NBoVAgQJ6U1MVXOaj8PK2l7WJ3RER9xtqwdhxkhw/edit?usp=sharing"",""สระบุรี!J161"")"),0)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IFERROR(__xludf.DUMMYFUNCTION("IMPORTRANGE(""https://docs.google.com/spreadsheets/d/1SX6NBoVAgQJ6U1MVXOaj8PK2l7WJ3RER9xtqwdhxkhw/edit?usp=sharing"",""สระบุรี!J162"")"),0)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IFERROR(__xludf.DUMMYFUNCTION("IMPORTRANGE(""https://docs.google.com/spreadsheets/d/1SX6NBoVAgQJ6U1MVXOaj8PK2l7WJ3RER9xtqwdhxkhw/edit?usp=sharing"",""สระบุรี!J163"")"),0)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IFERROR(__xludf.DUMMYFUNCTION("IMPORTRANGE(""https://docs.google.com/spreadsheets/d/1SX6NBoVAgQJ6U1MVXOaj8PK2l7WJ3RER9xtqwdhxkhw/edit?usp=sharing"",""สระบุรี!I164"")"),0)</f>
        <v>0</v>
      </c>
      <c r="J244" s="189">
        <f ca="1">IFERROR(__xludf.DUMMYFUNCTION("IMPORTRANGE(""https://docs.google.com/spreadsheets/d/1SX6NBoVAgQJ6U1MVXOaj8PK2l7WJ3RER9xtqwdhxkhw/edit?usp=sharing"",""สระบุรี!J164"")"),0)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IFERROR(__xludf.DUMMYFUNCTION("IMPORTRANGE(""https://docs.google.com/spreadsheets/d/1SX6NBoVAgQJ6U1MVXOaj8PK2l7WJ3RER9xtqwdhxkhw/edit?usp=sharing"",""สระบุรี!J165"")"),0)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IFERROR(__xludf.DUMMYFUNCTION("IMPORTRANGE(""https://docs.google.com/spreadsheets/d/1SX6NBoVAgQJ6U1MVXOaj8PK2l7WJ3RER9xtqwdhxkhw/edit?usp=sharing"",""สระบุรี!I169"")"),20)</f>
        <v>20</v>
      </c>
      <c r="J249" s="316">
        <f ca="1">IFERROR(__xludf.DUMMYFUNCTION("IMPORTRANGE(""https://docs.google.com/spreadsheets/d/1SX6NBoVAgQJ6U1MVXOaj8PK2l7WJ3RER9xtqwdhxkhw/edit?usp=sharing"",""สระบุรี!J169"")"),20)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181400</v>
      </c>
      <c r="M250" s="152">
        <f t="shared" ca="1" si="77"/>
        <v>92000</v>
      </c>
      <c r="N250" s="152">
        <f t="shared" ca="1" si="77"/>
        <v>79916</v>
      </c>
      <c r="O250" s="151">
        <f t="shared" ref="O250:O252" ca="1" si="78">IF(L250&gt;0,N250*100/L250,0)</f>
        <v>44.055126791620729</v>
      </c>
      <c r="P250" s="151">
        <f t="shared" ref="P250:P252" ca="1" si="79">IF(M250&gt;0,N250*100/M250,0)</f>
        <v>86.865217391304341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181400</v>
      </c>
      <c r="M252" s="157">
        <f t="shared" ca="1" si="81"/>
        <v>92000</v>
      </c>
      <c r="N252" s="157">
        <f t="shared" ca="1" si="81"/>
        <v>79916</v>
      </c>
      <c r="O252" s="156">
        <f t="shared" ca="1" si="78"/>
        <v>44.055126791620729</v>
      </c>
      <c r="P252" s="156">
        <f t="shared" ca="1" si="79"/>
        <v>86.865217391304341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181400</v>
      </c>
      <c r="M254" s="169">
        <f ca="1">IFERROR(__xludf.DUMMYFUNCTION("IMPORTRANGE(""https://docs.google.com/spreadsheets/d/1Yj_ptqi66GCucihVvJfMjLAmec39IyEx_6qawtMGysU/edit?usp=sharing"",""สบก!CB76"")"),92000)</f>
        <v>92000</v>
      </c>
      <c r="N254" s="170">
        <f ca="1">IFERROR(__xludf.DUMMYFUNCTION("IMPORTRANGE(""https://docs.google.com/spreadsheets/d/1Yj_ptqi66GCucihVvJfMjLAmec39IyEx_6qawtMGysU/edit?usp=sharing"",""สบก!CC76"")"),79916)</f>
        <v>79916</v>
      </c>
      <c r="O254" s="170">
        <f ca="1">IF(L254&gt;0,N254*100/L254,0)</f>
        <v>44.055126791620729</v>
      </c>
      <c r="P254" s="170">
        <f ca="1">IF(M254&gt;0,N254*100/M254,0)</f>
        <v>86.865217391304341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IFERROR(__xludf.DUMMYFUNCTION("IMPORTRANGE(""https://docs.google.com/spreadsheets/d/1Yj_ptqi66GCucihVvJfMjLAmec39IyEx_6qawtMGysU/edit?usp=sharing"",""สบก!BX76"")"),0)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IFERROR(__xludf.DUMMYFUNCTION("IMPORTRANGE(""https://docs.google.com/spreadsheets/d/1Yj_ptqi66GCucihVvJfMjLAmec39IyEx_6qawtMGysU/edit?usp=sharing"",""สบก!BY76"")"),181400)</f>
        <v>181400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IFERROR(__xludf.DUMMYFUNCTION("IMPORTRANGE(""https://docs.google.com/spreadsheets/d/1SX6NBoVAgQJ6U1MVXOaj8PK2l7WJ3RER9xtqwdhxkhw/edit?usp=sharing"",""สระบุรี!J175"")"),0)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IFERROR(__xludf.DUMMYFUNCTION("IMPORTRANGE(""https://docs.google.com/spreadsheets/d/1SX6NBoVAgQJ6U1MVXOaj8PK2l7WJ3RER9xtqwdhxkhw/edit?usp=sharing"",""สระบุรี!J176"")"),1)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IFERROR(__xludf.DUMMYFUNCTION("IMPORTRANGE(""https://docs.google.com/spreadsheets/d/1SX6NBoVAgQJ6U1MVXOaj8PK2l7WJ3RER9xtqwdhxkhw/edit?usp=sharing"",""สระบุรี!J177"")"),1)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IFERROR(__xludf.DUMMYFUNCTION("IMPORTRANGE(""https://docs.google.com/spreadsheets/d/1SX6NBoVAgQJ6U1MVXOaj8PK2l7WJ3RER9xtqwdhxkhw/edit?usp=sharing"",""สระบุรี!J178"")"),1)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IFERROR(__xludf.DUMMYFUNCTION("IMPORTRANGE(""https://docs.google.com/spreadsheets/d/1SX6NBoVAgQJ6U1MVXOaj8PK2l7WJ3RER9xtqwdhxkhw/edit?usp=sharing"",""สระบุรี!I179"")"),1)</f>
        <v>1</v>
      </c>
      <c r="J264" s="190">
        <f ca="1">IFERROR(__xludf.DUMMYFUNCTION("IMPORTRANGE(""https://docs.google.com/spreadsheets/d/1SX6NBoVAgQJ6U1MVXOaj8PK2l7WJ3RER9xtqwdhxkhw/edit?usp=sharing"",""สระบุรี!J179"")"),1)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IFERROR(__xludf.DUMMYFUNCTION("IMPORTRANGE(""https://docs.google.com/spreadsheets/d/1SX6NBoVAgQJ6U1MVXOaj8PK2l7WJ3RER9xtqwdhxkhw/edit?usp=sharing"",""สระบุรี!I180"")"),20)</f>
        <v>20</v>
      </c>
      <c r="J265" s="190">
        <f ca="1">IFERROR(__xludf.DUMMYFUNCTION("IMPORTRANGE(""https://docs.google.com/spreadsheets/d/1SX6NBoVAgQJ6U1MVXOaj8PK2l7WJ3RER9xtqwdhxkhw/edit?usp=sharing"",""สระบุรี!J180"")"),20)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IFERROR(__xludf.DUMMYFUNCTION("IMPORTRANGE(""https://docs.google.com/spreadsheets/d/1SX6NBoVAgQJ6U1MVXOaj8PK2l7WJ3RER9xtqwdhxkhw/edit?usp=sharing"",""สระบุรี!I181"")"),20)</f>
        <v>20</v>
      </c>
      <c r="J266" s="190">
        <f ca="1">IFERROR(__xludf.DUMMYFUNCTION("IMPORTRANGE(""https://docs.google.com/spreadsheets/d/1SX6NBoVAgQJ6U1MVXOaj8PK2l7WJ3RER9xtqwdhxkhw/edit?usp=sharing"",""สระบุรี!J181"")"),0)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IFERROR(__xludf.DUMMYFUNCTION("IMPORTRANGE(""https://docs.google.com/spreadsheets/d/1SX6NBoVAgQJ6U1MVXOaj8PK2l7WJ3RER9xtqwdhxkhw/edit?usp=sharing"",""สระบุรี!I182"")"),1)</f>
        <v>1</v>
      </c>
      <c r="J267" s="190">
        <f ca="1">IFERROR(__xludf.DUMMYFUNCTION("IMPORTRANGE(""https://docs.google.com/spreadsheets/d/1SX6NBoVAgQJ6U1MVXOaj8PK2l7WJ3RER9xtqwdhxkhw/edit?usp=sharing"",""สระบุรี!J182"")"),1)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IFERROR(__xludf.DUMMYFUNCTION("IMPORTRANGE(""https://docs.google.com/spreadsheets/d/1SX6NBoVAgQJ6U1MVXOaj8PK2l7WJ3RER9xtqwdhxkhw/edit?usp=sharing"",""สระบุรี!J183"")"),0)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IFERROR(__xludf.DUMMYFUNCTION("IMPORTRANGE(""https://docs.google.com/spreadsheets/d/1SX6NBoVAgQJ6U1MVXOaj8PK2l7WJ3RER9xtqwdhxkhw/edit?usp=sharing"",""สระบุรี!J184"")"),0)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IFERROR(__xludf.DUMMYFUNCTION("IMPORTRANGE(""https://docs.google.com/spreadsheets/d/1SX6NBoVAgQJ6U1MVXOaj8PK2l7WJ3RER9xtqwdhxkhw/edit?usp=sharing"",""สระบุรี!I185"")"),15)</f>
        <v>15</v>
      </c>
      <c r="J270" s="316">
        <f ca="1">IFERROR(__xludf.DUMMYFUNCTION("IMPORTRANGE(""https://docs.google.com/spreadsheets/d/1SX6NBoVAgQJ6U1MVXOaj8PK2l7WJ3RER9xtqwdhxkhw/edit?usp=sharing"",""สระบุรี!J185"")"),15)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29290</v>
      </c>
      <c r="O271" s="151">
        <f t="shared" ref="O271:O273" ca="1" si="84">IF(L271&gt;0,N271*100/L271,0)</f>
        <v>53.061594202898547</v>
      </c>
      <c r="P271" s="151">
        <f t="shared" ref="P271:P273" ca="1" si="85">IF(M271&gt;0,N271*100/M271,0)</f>
        <v>90.821705426356587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29290</v>
      </c>
      <c r="O273" s="156">
        <f t="shared" ca="1" si="84"/>
        <v>53.061594202898547</v>
      </c>
      <c r="P273" s="156">
        <f t="shared" ca="1" si="85"/>
        <v>90.821705426356587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IFERROR(__xludf.DUMMYFUNCTION("IMPORTRANGE(""https://docs.google.com/spreadsheets/d/1Yj_ptqi66GCucihVvJfMjLAmec39IyEx_6qawtMGysU/edit?usp=sharing"",""สบก!CK76"")"),32250)</f>
        <v>32250</v>
      </c>
      <c r="N275" s="170">
        <f ca="1">IFERROR(__xludf.DUMMYFUNCTION("IMPORTRANGE(""https://docs.google.com/spreadsheets/d/1Yj_ptqi66GCucihVvJfMjLAmec39IyEx_6qawtMGysU/edit?usp=sharing"",""สบก!CL76"")"),29290)</f>
        <v>29290</v>
      </c>
      <c r="O275" s="170">
        <f ca="1">IF(L275&gt;0,N275*100/L275,0)</f>
        <v>53.061594202898547</v>
      </c>
      <c r="P275" s="170">
        <f ca="1">IF(M275&gt;0,N275*100/M275,0)</f>
        <v>90.821705426356587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IFERROR(__xludf.DUMMYFUNCTION("IMPORTRANGE(""https://docs.google.com/spreadsheets/d/1Yj_ptqi66GCucihVvJfMjLAmec39IyEx_6qawtMGysU/edit?usp=sharing"",""สบก!CG76"")"),0)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IFERROR(__xludf.DUMMYFUNCTION("IMPORTRANGE(""https://docs.google.com/spreadsheets/d/1Yj_ptqi66GCucihVvJfMjLAmec39IyEx_6qawtMGysU/edit?usp=sharing"",""สบก!CH76"")"),55200)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IFERROR(__xludf.DUMMYFUNCTION("IMPORTRANGE(""https://docs.google.com/spreadsheets/d/1SX6NBoVAgQJ6U1MVXOaj8PK2l7WJ3RER9xtqwdhxkhw/edit?usp=sharing"",""สระบุรี!J191"")"),0)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IFERROR(__xludf.DUMMYFUNCTION("IMPORTRANGE(""https://docs.google.com/spreadsheets/d/1SX6NBoVAgQJ6U1MVXOaj8PK2l7WJ3RER9xtqwdhxkhw/edit?usp=sharing"",""สระบุรี!J192"")"),1)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IFERROR(__xludf.DUMMYFUNCTION("IMPORTRANGE(""https://docs.google.com/spreadsheets/d/1SX6NBoVAgQJ6U1MVXOaj8PK2l7WJ3RER9xtqwdhxkhw/edit?usp=sharing"",""สระบุรี!J193"")"),1)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IFERROR(__xludf.DUMMYFUNCTION("IMPORTRANGE(""https://docs.google.com/spreadsheets/d/1SX6NBoVAgQJ6U1MVXOaj8PK2l7WJ3RER9xtqwdhxkhw/edit?usp=sharing"",""สระบุรี!J194"")"),1)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IFERROR(__xludf.DUMMYFUNCTION("IMPORTRANGE(""https://docs.google.com/spreadsheets/d/1SX6NBoVAgQJ6U1MVXOaj8PK2l7WJ3RER9xtqwdhxkhw/edit?usp=sharing"",""สระบุรี!I195"")"),15)</f>
        <v>15</v>
      </c>
      <c r="J285" s="190">
        <f ca="1">IFERROR(__xludf.DUMMYFUNCTION("IMPORTRANGE(""https://docs.google.com/spreadsheets/d/1SX6NBoVAgQJ6U1MVXOaj8PK2l7WJ3RER9xtqwdhxkhw/edit?usp=sharing"",""สระบุรี!J195"")"),15)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IFERROR(__xludf.DUMMYFUNCTION("IMPORTRANGE(""https://docs.google.com/spreadsheets/d/1SX6NBoVAgQJ6U1MVXOaj8PK2l7WJ3RER9xtqwdhxkhw/edit?usp=sharing"",""สระบุรี!J196"")"),0)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IFERROR(__xludf.DUMMYFUNCTION("IMPORTRANGE(""https://docs.google.com/spreadsheets/d/1SX6NBoVAgQJ6U1MVXOaj8PK2l7WJ3RER9xtqwdhxkhw/edit?usp=sharing"",""สระบุรี!J197"")"),0)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IFERROR(__xludf.DUMMYFUNCTION("IMPORTRANGE(""https://docs.google.com/spreadsheets/d/1SX6NBoVAgQJ6U1MVXOaj8PK2l7WJ3RER9xtqwdhxkhw/edit?usp=sharing"",""สระบุรี!I199"")"),0)</f>
        <v>0</v>
      </c>
      <c r="J289" s="316">
        <f ca="1">IFERROR(__xludf.DUMMYFUNCTION("IMPORTRANGE(""https://docs.google.com/spreadsheets/d/1SX6NBoVAgQJ6U1MVXOaj8PK2l7WJ3RER9xtqwdhxkhw/edit?usp=sharing"",""สระบุรี!J199"")"),0)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IFERROR(__xludf.DUMMYFUNCTION("IMPORTRANGE(""https://docs.google.com/spreadsheets/d/1Yj_ptqi66GCucihVvJfMjLAmec39IyEx_6qawtMGysU/edit?usp=sharing"",""สบก!CT76"")"),0)</f>
        <v>0</v>
      </c>
      <c r="N294" s="170">
        <f ca="1">IFERROR(__xludf.DUMMYFUNCTION("IMPORTRANGE(""https://docs.google.com/spreadsheets/d/1Yj_ptqi66GCucihVvJfMjLAmec39IyEx_6qawtMGysU/edit?usp=sharing"",""สบก!CU76"")"),0)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IFERROR(__xludf.DUMMYFUNCTION("IMPORTRANGE(""https://docs.google.com/spreadsheets/d/1Yj_ptqi66GCucihVvJfMjLAmec39IyEx_6qawtMGysU/edit?usp=sharing"",""สบก!CP76"")"),0)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IFERROR(__xludf.DUMMYFUNCTION("IMPORTRANGE(""https://docs.google.com/spreadsheets/d/1Yj_ptqi66GCucihVvJfMjLAmec39IyEx_6qawtMGysU/edit?usp=sharing"",""สบก!CQ76"")"),0)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IFERROR(__xludf.DUMMYFUNCTION("IMPORTRANGE(""https://docs.google.com/spreadsheets/d/1SX6NBoVAgQJ6U1MVXOaj8PK2l7WJ3RER9xtqwdhxkhw/edit?usp=sharing"",""สระบุรี!I209"")"),0)</f>
        <v>0</v>
      </c>
      <c r="J304" s="205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IFERROR(__xludf.DUMMYFUNCTION("IMPORTRANGE(""https://docs.google.com/spreadsheets/d/1SX6NBoVAgQJ6U1MVXOaj8PK2l7WJ3RER9xtqwdhxkhw/edit?usp=sharing"",""สระบุรี!I211"")"),0)</f>
        <v>0</v>
      </c>
      <c r="J306" s="205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IFERROR(__xludf.DUMMYFUNCTION("IMPORTRANGE(""https://docs.google.com/spreadsheets/d/1SX6NBoVAgQJ6U1MVXOaj8PK2l7WJ3RER9xtqwdhxkhw/edit?usp=sharing"",""สระบุรี!I214"")"),0)</f>
        <v>0</v>
      </c>
      <c r="J309" s="333">
        <f ca="1">IFERROR(__xludf.DUMMYFUNCTION("IMPORTRANGE(""https://docs.google.com/spreadsheets/d/1SX6NBoVAgQJ6U1MVXOaj8PK2l7WJ3RER9xtqwdhxkhw/edit?usp=sharing"",""สระบุรี!J214"")"),0)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IFERROR(__xludf.DUMMYFUNCTION("IMPORTRANGE(""https://docs.google.com/spreadsheets/d/1Yj_ptqi66GCucihVvJfMjLAmec39IyEx_6qawtMGysU/edit?usp=sharing"",""สบก!DC76"")"),0)</f>
        <v>0</v>
      </c>
      <c r="N314" s="170">
        <f ca="1">IFERROR(__xludf.DUMMYFUNCTION("IMPORTRANGE(""https://docs.google.com/spreadsheets/d/1Yj_ptqi66GCucihVvJfMjLAmec39IyEx_6qawtMGysU/edit?usp=sharing"",""สบก!DD76"")"),0)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IFERROR(__xludf.DUMMYFUNCTION("IMPORTRANGE(""https://docs.google.com/spreadsheets/d/1Yj_ptqi66GCucihVvJfMjLAmec39IyEx_6qawtMGysU/edit?usp=sharing"",""สบก!CY76"")"),0)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IFERROR(__xludf.DUMMYFUNCTION("IMPORTRANGE(""https://docs.google.com/spreadsheets/d/1Yj_ptqi66GCucihVvJfMjLAmec39IyEx_6qawtMGysU/edit?usp=sharing"",""สบก!CZ76"")"),0)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IFERROR(__xludf.DUMMYFUNCTION("IMPORTRANGE(""https://docs.google.com/spreadsheets/d/1SX6NBoVAgQJ6U1MVXOaj8PK2l7WJ3RER9xtqwdhxkhw/edit?usp=sharing"",""สระบุรี!I224"")"),0)</f>
        <v>0</v>
      </c>
      <c r="J324" s="205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IFERROR(__xludf.DUMMYFUNCTION("IMPORTRANGE(""https://docs.google.com/spreadsheets/d/1SX6NBoVAgQJ6U1MVXOaj8PK2l7WJ3RER9xtqwdhxkhw/edit?usp=sharing"",""สระบุรี!I228"")"),150)</f>
        <v>150</v>
      </c>
      <c r="J328" s="339">
        <f ca="1">IFERROR(__xludf.DUMMYFUNCTION("IMPORTRANGE(""https://docs.google.com/spreadsheets/d/1SX6NBoVAgQJ6U1MVXOaj8PK2l7WJ3RER9xtqwdhxkhw/edit?usp=sharing"",""สระบุรี!J228"")"),55)</f>
        <v>55</v>
      </c>
      <c r="K328" s="317">
        <f ca="1">IF(I328&gt;0,J328*100/I328,0)</f>
        <v>36.666666666666664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843220</v>
      </c>
      <c r="M329" s="152">
        <f t="shared" ca="1" si="98"/>
        <v>463570</v>
      </c>
      <c r="N329" s="152">
        <f t="shared" ca="1" si="98"/>
        <v>343299</v>
      </c>
      <c r="O329" s="151">
        <f t="shared" ref="O329:O331" ca="1" si="99">IF(L329&gt;0,N329*100/L329,0)</f>
        <v>40.712862598135715</v>
      </c>
      <c r="P329" s="151">
        <f t="shared" ref="P329:P331" ca="1" si="100">IF(M329&gt;0,N329*100/M329,0)</f>
        <v>74.055482451409716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843220</v>
      </c>
      <c r="M331" s="157">
        <f t="shared" ca="1" si="102"/>
        <v>463570</v>
      </c>
      <c r="N331" s="157">
        <f t="shared" ca="1" si="102"/>
        <v>343299</v>
      </c>
      <c r="O331" s="156">
        <f t="shared" ca="1" si="99"/>
        <v>40.712862598135715</v>
      </c>
      <c r="P331" s="156">
        <f t="shared" ca="1" si="100"/>
        <v>74.055482451409716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811220</v>
      </c>
      <c r="M333" s="169">
        <f ca="1">IFERROR(__xludf.DUMMYFUNCTION("IMPORTRANGE(""https://docs.google.com/spreadsheets/d/1Yj_ptqi66GCucihVvJfMjLAmec39IyEx_6qawtMGysU/edit?usp=sharing"",""สบก!DL76"")"),431570)</f>
        <v>431570</v>
      </c>
      <c r="N333" s="170">
        <f ca="1">IFERROR(__xludf.DUMMYFUNCTION("IMPORTRANGE(""https://docs.google.com/spreadsheets/d/1Yj_ptqi66GCucihVvJfMjLAmec39IyEx_6qawtMGysU/edit?usp=sharing"",""สบก!DM76"")"),311299)</f>
        <v>311299</v>
      </c>
      <c r="O333" s="170">
        <f ca="1">IF(L333&gt;0,N333*100/L333,0)</f>
        <v>38.374177165257265</v>
      </c>
      <c r="P333" s="170">
        <f ca="1">IF(M333&gt;0,N333*100/M333,0)</f>
        <v>72.131751511921593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IFERROR(__xludf.DUMMYFUNCTION("IMPORTRANGE(""https://docs.google.com/spreadsheets/d/1Yj_ptqi66GCucihVvJfMjLAmec39IyEx_6qawtMGysU/edit?usp=sharing"",""สบก!DH76"")"),471600)</f>
        <v>471600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IFERROR(__xludf.DUMMYFUNCTION("IMPORTRANGE(""https://docs.google.com/spreadsheets/d/1Yj_ptqi66GCucihVvJfMjLAmec39IyEx_6qawtMGysU/edit?usp=sharing"",""สบก!DI76"")"),339620)</f>
        <v>339620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IFERROR(__xludf.DUMMYFUNCTION("IMPORTRANGE(""https://docs.google.com/spreadsheets/d/1SX6NBoVAgQJ6U1MVXOaj8PK2l7WJ3RER9xtqwdhxkhw/edit?usp=sharing"",""สระบุรี!I234"")"),0)</f>
        <v>0</v>
      </c>
      <c r="J339" s="189">
        <f ca="1">IFERROR(__xludf.DUMMYFUNCTION("IMPORTRANGE(""https://docs.google.com/spreadsheets/d/1SX6NBoVAgQJ6U1MVXOaj8PK2l7WJ3RER9xtqwdhxkhw/edit?usp=sharing"",""สระบุรี!J234"")"),0)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IFERROR(__xludf.DUMMYFUNCTION("IMPORTRANGE(""https://docs.google.com/spreadsheets/d/1SX6NBoVAgQJ6U1MVXOaj8PK2l7WJ3RER9xtqwdhxkhw/edit?usp=sharing"",""สระบุรี!I235"")"),1640)</f>
        <v>1640</v>
      </c>
      <c r="J340" s="189">
        <f ca="1">IFERROR(__xludf.DUMMYFUNCTION("IMPORTRANGE(""https://docs.google.com/spreadsheets/d/1SX6NBoVAgQJ6U1MVXOaj8PK2l7WJ3RER9xtqwdhxkhw/edit?usp=sharing"",""สระบุรี!J235"")"),0)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IFERROR(__xludf.DUMMYFUNCTION("IMPORTRANGE(""https://docs.google.com/spreadsheets/d/1SX6NBoVAgQJ6U1MVXOaj8PK2l7WJ3RER9xtqwdhxkhw/edit?usp=sharing"",""สระบุรี!I236"")"),150)</f>
        <v>150</v>
      </c>
      <c r="J341" s="189">
        <f ca="1">IFERROR(__xludf.DUMMYFUNCTION("IMPORTRANGE(""https://docs.google.com/spreadsheets/d/1SX6NBoVAgQJ6U1MVXOaj8PK2l7WJ3RER9xtqwdhxkhw/edit?usp=sharing"",""สระบุรี!J236"")"),55)</f>
        <v>55</v>
      </c>
      <c r="K341" s="342">
        <f t="shared" ca="1" si="103"/>
        <v>36.666666666666664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9">
        <f ca="1">IFERROR(__xludf.DUMMYFUNCTION("IMPORTRANGE(""https://docs.google.com/spreadsheets/d/1SX6NBoVAgQJ6U1MVXOaj8PK2l7WJ3RER9xtqwdhxkhw/edit?usp=sharing"",""สระบุรี!J237"")"),980.11)</f>
        <v>980.11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IFERROR(__xludf.DUMMYFUNCTION("IMPORTRANGE(""https://docs.google.com/spreadsheets/d/1SX6NBoVAgQJ6U1MVXOaj8PK2l7WJ3RER9xtqwdhxkhw/edit?usp=sharing"",""สระบุรี!I238"")"),150)</f>
        <v>150</v>
      </c>
      <c r="J343" s="189">
        <f ca="1">IFERROR(__xludf.DUMMYFUNCTION("IMPORTRANGE(""https://docs.google.com/spreadsheets/d/1SX6NBoVAgQJ6U1MVXOaj8PK2l7WJ3RER9xtqwdhxkhw/edit?usp=sharing"",""สระบุรี!J238"")"),0)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9">
        <f ca="1">IFERROR(__xludf.DUMMYFUNCTION("IMPORTRANGE(""https://docs.google.com/spreadsheets/d/1SX6NBoVAgQJ6U1MVXOaj8PK2l7WJ3RER9xtqwdhxkhw/edit?usp=sharing"",""สระบุรี!J239"")"),0)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IFERROR(__xludf.DUMMYFUNCTION("IMPORTRANGE(""https://docs.google.com/spreadsheets/d/1SX6NBoVAgQJ6U1MVXOaj8PK2l7WJ3RER9xtqwdhxkhw/edit?usp=sharing"",""สระบุรี!I240"")"),150)</f>
        <v>150</v>
      </c>
      <c r="J345" s="189">
        <f ca="1">IFERROR(__xludf.DUMMYFUNCTION("IMPORTRANGE(""https://docs.google.com/spreadsheets/d/1SX6NBoVAgQJ6U1MVXOaj8PK2l7WJ3RER9xtqwdhxkhw/edit?usp=sharing"",""สระบุรี!J240"")"),55)</f>
        <v>55</v>
      </c>
      <c r="K345" s="342">
        <f t="shared" ca="1" si="103"/>
        <v>36.666666666666664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9">
        <f ca="1">IFERROR(__xludf.DUMMYFUNCTION("IMPORTRANGE(""https://docs.google.com/spreadsheets/d/1SX6NBoVAgQJ6U1MVXOaj8PK2l7WJ3RER9xtqwdhxkhw/edit?usp=sharing"",""สระบุรี!J241"")"),980.11)</f>
        <v>980.11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IFERROR(__xludf.DUMMYFUNCTION("IMPORTRANGE(""https://docs.google.com/spreadsheets/d/1SX6NBoVAgQJ6U1MVXOaj8PK2l7WJ3RER9xtqwdhxkhw/edit?usp=sharing"",""สระบุรี!L242"")"),1318814)</f>
        <v>1318814</v>
      </c>
      <c r="M347" s="358"/>
      <c r="N347" s="358">
        <f ca="1">IFERROR(__xludf.DUMMYFUNCTION("IMPORTRANGE(""https://docs.google.com/spreadsheets/d/1SX6NBoVAgQJ6U1MVXOaj8PK2l7WJ3RER9xtqwdhxkhw/edit?usp=sharing"",""สระบุรี!M242"")"),212559)</f>
        <v>212559</v>
      </c>
      <c r="O347" s="358">
        <f ca="1">+IF(L347&gt;0,N347*100/L347,0)</f>
        <v>16.117435817332847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IFERROR(__xludf.DUMMYFUNCTION("IMPORTRANGE(""https://docs.google.com/spreadsheets/d/1SX6NBoVAgQJ6U1MVXOaj8PK2l7WJ3RER9xtqwdhxkhw/edit?usp=sharing"",""สระบุรี!M244"")"),20400)</f>
        <v>20400</v>
      </c>
      <c r="O349" s="373">
        <f ca="1">+IF(L349&gt;0,N349*100/L349,0)</f>
        <v>21.907216494845361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IFERROR(__xludf.DUMMYFUNCTION("IMPORTRANGE(""https://docs.google.com/spreadsheets/d/1SX6NBoVAgQJ6U1MVXOaj8PK2l7WJ3RER9xtqwdhxkhw/edit?usp=sharing"",""สระบุรี!L246"")"),0)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IFERROR(__xludf.DUMMYFUNCTION("IMPORTRANGE(""https://docs.google.com/spreadsheets/d/1SX6NBoVAgQJ6U1MVXOaj8PK2l7WJ3RER9xtqwdhxkhw/edit?usp=sharing"",""สระบุรี!M246"")"),0)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IFERROR(__xludf.DUMMYFUNCTION("IMPORTRANGE(""https://docs.google.com/spreadsheets/d/1SX6NBoVAgQJ6U1MVXOaj8PK2l7WJ3RER9xtqwdhxkhw/edit?usp=sharing"",""สระบุรี!L247"")"),93120)</f>
        <v>93120</v>
      </c>
      <c r="M352" s="167"/>
      <c r="N352" s="166">
        <f ca="1">IFERROR(__xludf.DUMMYFUNCTION("IMPORTRANGE(""https://docs.google.com/spreadsheets/d/1SX6NBoVAgQJ6U1MVXOaj8PK2l7WJ3RER9xtqwdhxkhw/edit?usp=sharing"",""สระบุรี!M247"")"),20400)</f>
        <v>20400</v>
      </c>
      <c r="O352" s="167">
        <f t="shared" ca="1" si="105"/>
        <v>21.907216494845361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IFERROR(__xludf.DUMMYFUNCTION("IMPORTRANGE(""https://docs.google.com/spreadsheets/d/1SX6NBoVAgQJ6U1MVXOaj8PK2l7WJ3RER9xtqwdhxkhw/edit?usp=sharing"",""สระบุรี!L248"")"),0)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IFERROR(__xludf.DUMMYFUNCTION("IMPORTRANGE(""https://docs.google.com/spreadsheets/d/1SX6NBoVAgQJ6U1MVXOaj8PK2l7WJ3RER9xtqwdhxkhw/edit?usp=sharing"",""สระบุรี!M248"")"),0)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IFERROR(__xludf.DUMMYFUNCTION("IMPORTRANGE(""https://docs.google.com/spreadsheets/d/1SX6NBoVAgQJ6U1MVXOaj8PK2l7WJ3RER9xtqwdhxkhw/edit?usp=sharing"",""สระบุรี!L249"")"),93120)</f>
        <v>93120</v>
      </c>
      <c r="M354" s="170"/>
      <c r="N354" s="169">
        <f ca="1">IFERROR(__xludf.DUMMYFUNCTION("IMPORTRANGE(""https://docs.google.com/spreadsheets/d/1SX6NBoVAgQJ6U1MVXOaj8PK2l7WJ3RER9xtqwdhxkhw/edit?usp=sharing"",""สระบุรี!M249"")"),20400)</f>
        <v>20400</v>
      </c>
      <c r="O354" s="170">
        <f t="shared" ca="1" si="105"/>
        <v>21.907216494845361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IFERROR(__xludf.DUMMYFUNCTION("IMPORTRANGE(""https://docs.google.com/spreadsheets/d/1SX6NBoVAgQJ6U1MVXOaj8PK2l7WJ3RER9xtqwdhxkhw/edit?usp=sharing"",""สระบุรี!M250"")"),0)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IFERROR(__xludf.DUMMYFUNCTION("IMPORTRANGE(""https://docs.google.com/spreadsheets/d/1SX6NBoVAgQJ6U1MVXOaj8PK2l7WJ3RER9xtqwdhxkhw/edit?usp=sharing"",""สระบุรี!M251"")"),0)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IFERROR(__xludf.DUMMYFUNCTION("IMPORTRANGE(""https://docs.google.com/spreadsheets/d/1SX6NBoVAgQJ6U1MVXOaj8PK2l7WJ3RER9xtqwdhxkhw/edit?usp=sharing"",""สระบุรี!M253"")"),20400)</f>
        <v>20400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IFERROR(__xludf.DUMMYFUNCTION("IMPORTRANGE(""https://docs.google.com/spreadsheets/d/1SX6NBoVAgQJ6U1MVXOaj8PK2l7WJ3RER9xtqwdhxkhw/edit?usp=sharing"",""สระบุรี!J255"")"),0)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IFERROR(__xludf.DUMMYFUNCTION("IMPORTRANGE(""https://docs.google.com/spreadsheets/d/1SX6NBoVAgQJ6U1MVXOaj8PK2l7WJ3RER9xtqwdhxkhw/edit?usp=sharing"",""สระบุรี!J256"")"),1)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IFERROR(__xludf.DUMMYFUNCTION("IMPORTRANGE(""https://docs.google.com/spreadsheets/d/1SX6NBoVAgQJ6U1MVXOaj8PK2l7WJ3RER9xtqwdhxkhw/edit?usp=sharing"",""สระบุรี!J257"")"),1)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IFERROR(__xludf.DUMMYFUNCTION("IMPORTRANGE(""https://docs.google.com/spreadsheets/d/1SX6NBoVAgQJ6U1MVXOaj8PK2l7WJ3RER9xtqwdhxkhw/edit?usp=sharing"",""สระบุรี!J258"")"),1)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IFERROR(__xludf.DUMMYFUNCTION("IMPORTRANGE(""https://docs.google.com/spreadsheets/d/1SX6NBoVAgQJ6U1MVXOaj8PK2l7WJ3RER9xtqwdhxkhw/edit?usp=sharing"",""สระบุรี!J166"")"),0)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IFERROR(__xludf.DUMMYFUNCTION("IMPORTRANGE(""https://docs.google.com/spreadsheets/d/1SX6NBoVAgQJ6U1MVXOaj8PK2l7WJ3RER9xtqwdhxkhw/edit?usp=sharing"",""สระบุรี!J166"")"),0)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IFERROR(__xludf.DUMMYFUNCTION("IMPORTRANGE(""https://docs.google.com/spreadsheets/d/1SX6NBoVAgQJ6U1MVXOaj8PK2l7WJ3RER9xtqwdhxkhw/edit?usp=sharing"",""สระบุรี!J166"")"),0)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IFERROR(__xludf.DUMMYFUNCTION("IMPORTRANGE(""https://docs.google.com/spreadsheets/d/1SX6NBoVAgQJ6U1MVXOaj8PK2l7WJ3RER9xtqwdhxkhw/edit?usp=sharing"",""สระบุรี!J166"")"),0)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IFERROR(__xludf.DUMMYFUNCTION("IMPORTRANGE(""https://docs.google.com/spreadsheets/d/1SX6NBoVAgQJ6U1MVXOaj8PK2l7WJ3RER9xtqwdhxkhw/edit?usp=sharing"",""สระบุรี!I263"")"),20)</f>
        <v>20</v>
      </c>
      <c r="J368" s="189">
        <f ca="1">IFERROR(__xludf.DUMMYFUNCTION("IMPORTRANGE(""https://docs.google.com/spreadsheets/d/1SX6NBoVAgQJ6U1MVXOaj8PK2l7WJ3RER9xtqwdhxkhw/edit?usp=sharing"",""สระบุรี!J263"")"),20)</f>
        <v>20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IFERROR(__xludf.DUMMYFUNCTION("IMPORTRANGE(""https://docs.google.com/spreadsheets/d/1SX6NBoVAgQJ6U1MVXOaj8PK2l7WJ3RER9xtqwdhxkhw/edit?usp=sharing"",""สระบุรี!I164"")"),0)</f>
        <v>0</v>
      </c>
      <c r="J369" s="205">
        <f ca="1">IFERROR(__xludf.DUMMYFUNCTION("IMPORTRANGE(""https://docs.google.com/spreadsheets/d/1SX6NBoVAgQJ6U1MVXOaj8PK2l7WJ3RER9xtqwdhxkhw/edit?usp=sharing"",""สระบุรี!J164"")"),0)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IFERROR(__xludf.DUMMYFUNCTION("IMPORTRANGE(""https://docs.google.com/spreadsheets/d/1SX6NBoVAgQJ6U1MVXOaj8PK2l7WJ3RER9xtqwdhxkhw/edit?usp=sharing"",""สระบุรี!I265"")"),20)</f>
        <v>20</v>
      </c>
      <c r="J370" s="205">
        <f ca="1">IFERROR(__xludf.DUMMYFUNCTION("IMPORTRANGE(""https://docs.google.com/spreadsheets/d/1SX6NBoVAgQJ6U1MVXOaj8PK2l7WJ3RER9xtqwdhxkhw/edit?usp=sharing"",""สระบุรี!J265"")"),20)</f>
        <v>20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IFERROR(__xludf.DUMMYFUNCTION("IMPORTRANGE(""https://docs.google.com/spreadsheets/d/1SX6NBoVAgQJ6U1MVXOaj8PK2l7WJ3RER9xtqwdhxkhw/edit?usp=sharing"",""สระบุรี!I164"")"),0)</f>
        <v>0</v>
      </c>
      <c r="J371" s="190">
        <f ca="1">IFERROR(__xludf.DUMMYFUNCTION("IMPORTRANGE(""https://docs.google.com/spreadsheets/d/1SX6NBoVAgQJ6U1MVXOaj8PK2l7WJ3RER9xtqwdhxkhw/edit?usp=sharing"",""สระบุรี!J164"")"),0)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IFERROR(__xludf.DUMMYFUNCTION("IMPORTRANGE(""https://docs.google.com/spreadsheets/d/1SX6NBoVAgQJ6U1MVXOaj8PK2l7WJ3RER9xtqwdhxkhw/edit?usp=sharing"",""สระบุรี!I267"")"),20)</f>
        <v>20</v>
      </c>
      <c r="J372" s="190">
        <f ca="1">IFERROR(__xludf.DUMMYFUNCTION("IMPORTRANGE(""https://docs.google.com/spreadsheets/d/1SX6NBoVAgQJ6U1MVXOaj8PK2l7WJ3RER9xtqwdhxkhw/edit?usp=sharing"",""สระบุรี!J267"")"),20)</f>
        <v>20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IFERROR(__xludf.DUMMYFUNCTION("IMPORTRANGE(""https://docs.google.com/spreadsheets/d/1SX6NBoVAgQJ6U1MVXOaj8PK2l7WJ3RER9xtqwdhxkhw/edit?usp=sharing"",""สระบุรี!I164"")"),0)</f>
        <v>0</v>
      </c>
      <c r="J373" s="205">
        <f ca="1">IFERROR(__xludf.DUMMYFUNCTION("IMPORTRANGE(""https://docs.google.com/spreadsheets/d/1SX6NBoVAgQJ6U1MVXOaj8PK2l7WJ3RER9xtqwdhxkhw/edit?usp=sharing"",""สระบุรี!J164"")"),0)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IFERROR(__xludf.DUMMYFUNCTION("IMPORTRANGE(""https://docs.google.com/spreadsheets/d/1SX6NBoVAgQJ6U1MVXOaj8PK2l7WJ3RER9xtqwdhxkhw/edit?usp=sharing"",""สระบุรี!I164"")"),0)</f>
        <v>0</v>
      </c>
      <c r="J374" s="189">
        <f ca="1">IFERROR(__xludf.DUMMYFUNCTION("IMPORTRANGE(""https://docs.google.com/spreadsheets/d/1SX6NBoVAgQJ6U1MVXOaj8PK2l7WJ3RER9xtqwdhxkhw/edit?usp=sharing"",""สระบุรี!J164"")"),0)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IFERROR(__xludf.DUMMYFUNCTION("IMPORTRANGE(""https://docs.google.com/spreadsheets/d/1SX6NBoVAgQJ6U1MVXOaj8PK2l7WJ3RER9xtqwdhxkhw/edit?usp=sharing"",""สระบุรี!I270"")"),60)</f>
        <v>60</v>
      </c>
      <c r="J375" s="189">
        <f ca="1">IFERROR(__xludf.DUMMYFUNCTION("IMPORTRANGE(""https://docs.google.com/spreadsheets/d/1SX6NBoVAgQJ6U1MVXOaj8PK2l7WJ3RER9xtqwdhxkhw/edit?usp=sharing"",""สระบุรี!J270"")"),0)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IFERROR(__xludf.DUMMYFUNCTION("IMPORTRANGE(""https://docs.google.com/spreadsheets/d/1SX6NBoVAgQJ6U1MVXOaj8PK2l7WJ3RER9xtqwdhxkhw/edit?usp=sharing"",""สระบุรี!I271"")"),0)</f>
        <v>0</v>
      </c>
      <c r="J376" s="190">
        <f ca="1">IFERROR(__xludf.DUMMYFUNCTION("IMPORTRANGE(""https://docs.google.com/spreadsheets/d/1SX6NBoVAgQJ6U1MVXOaj8PK2l7WJ3RER9xtqwdhxkhw/edit?usp=sharing"",""สระบุรี!J271"")"),0)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IFERROR(__xludf.DUMMYFUNCTION("IMPORTRANGE(""https://docs.google.com/spreadsheets/d/1SX6NBoVAgQJ6U1MVXOaj8PK2l7WJ3RER9xtqwdhxkhw/edit?usp=sharing"",""สระบุรี!I272"")"),60)</f>
        <v>60</v>
      </c>
      <c r="J377" s="205">
        <f ca="1">IFERROR(__xludf.DUMMYFUNCTION("IMPORTRANGE(""https://docs.google.com/spreadsheets/d/1SX6NBoVAgQJ6U1MVXOaj8PK2l7WJ3RER9xtqwdhxkhw/edit?usp=sharing"",""สระบุรี!J272"")"),0)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IFERROR(__xludf.DUMMYFUNCTION("IMPORTRANGE(""https://docs.google.com/spreadsheets/d/1SX6NBoVAgQJ6U1MVXOaj8PK2l7WJ3RER9xtqwdhxkhw/edit?usp=sharing"",""สระบุรี!J273"")"),0)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IFERROR(__xludf.DUMMYFUNCTION("IMPORTRANGE(""https://docs.google.com/spreadsheets/d/1SX6NBoVAgQJ6U1MVXOaj8PK2l7WJ3RER9xtqwdhxkhw/edit?usp=sharing"",""สระบุรี!J274"")"),0)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IFERROR(__xludf.DUMMYFUNCTION("IMPORTRANGE(""https://docs.google.com/spreadsheets/d/1SX6NBoVAgQJ6U1MVXOaj8PK2l7WJ3RER9xtqwdhxkhw/edit?usp=sharing"",""สระบุรี!M275"")"),47900)</f>
        <v>47900</v>
      </c>
      <c r="O380" s="373">
        <f ca="1">+IF(L380&gt;0,N380*100/L380,0)</f>
        <v>23.077664289843902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IFERROR(__xludf.DUMMYFUNCTION("IMPORTRANGE(""https://docs.google.com/spreadsheets/d/1SX6NBoVAgQJ6U1MVXOaj8PK2l7WJ3RER9xtqwdhxkhw/edit?usp=sharing"",""สระบุรี!L277"")"),0)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IFERROR(__xludf.DUMMYFUNCTION("IMPORTRANGE(""https://docs.google.com/spreadsheets/d/1SX6NBoVAgQJ6U1MVXOaj8PK2l7WJ3RER9xtqwdhxkhw/edit?usp=sharing"",""สระบุรี!M277"")"),0)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IFERROR(__xludf.DUMMYFUNCTION("IMPORTRANGE(""https://docs.google.com/spreadsheets/d/1SX6NBoVAgQJ6U1MVXOaj8PK2l7WJ3RER9xtqwdhxkhw/edit?usp=sharing"",""สระบุรี!L278"")"),207560)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IFERROR(__xludf.DUMMYFUNCTION("IMPORTRANGE(""https://docs.google.com/spreadsheets/d/1SX6NBoVAgQJ6U1MVXOaj8PK2l7WJ3RER9xtqwdhxkhw/edit?usp=sharing"",""สระบุรี!M278"")"),47900)</f>
        <v>47900</v>
      </c>
      <c r="O383" s="167">
        <f t="shared" ca="1" si="109"/>
        <v>23.077664289843902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IFERROR(__xludf.DUMMYFUNCTION("IMPORTRANGE(""https://docs.google.com/spreadsheets/d/1SX6NBoVAgQJ6U1MVXOaj8PK2l7WJ3RER9xtqwdhxkhw/edit?usp=sharing"",""สระบุรี!L279"")"),0)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IFERROR(__xludf.DUMMYFUNCTION("IMPORTRANGE(""https://docs.google.com/spreadsheets/d/1SX6NBoVAgQJ6U1MVXOaj8PK2l7WJ3RER9xtqwdhxkhw/edit?usp=sharing"",""สระบุรี!M279"")"),0)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IFERROR(__xludf.DUMMYFUNCTION("IMPORTRANGE(""https://docs.google.com/spreadsheets/d/1SX6NBoVAgQJ6U1MVXOaj8PK2l7WJ3RER9xtqwdhxkhw/edit?usp=sharing"",""สระบุรี!L280"")"),207560)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IFERROR(__xludf.DUMMYFUNCTION("IMPORTRANGE(""https://docs.google.com/spreadsheets/d/1SX6NBoVAgQJ6U1MVXOaj8PK2l7WJ3RER9xtqwdhxkhw/edit?usp=sharing"",""สระบุรี!M280"")"),47900)</f>
        <v>47900</v>
      </c>
      <c r="O385" s="170">
        <f t="shared" ca="1" si="109"/>
        <v>23.077664289843902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IFERROR(__xludf.DUMMYFUNCTION("IMPORTRANGE(""https://docs.google.com/spreadsheets/d/1SX6NBoVAgQJ6U1MVXOaj8PK2l7WJ3RER9xtqwdhxkhw/edit?usp=sharing"",""สระบุรี!M281"")"),36580)</f>
        <v>36580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IFERROR(__xludf.DUMMYFUNCTION("IMPORTRANGE(""https://docs.google.com/spreadsheets/d/1SX6NBoVAgQJ6U1MVXOaj8PK2l7WJ3RER9xtqwdhxkhw/edit?usp=sharing"",""สระบุรี!M282"")"),0)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IFERROR(__xludf.DUMMYFUNCTION("IMPORTRANGE(""https://docs.google.com/spreadsheets/d/1SX6NBoVAgQJ6U1MVXOaj8PK2l7WJ3RER9xtqwdhxkhw/edit?usp=sharing"",""สระบุรี!M284"")"),11320)</f>
        <v>11320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IFERROR(__xludf.DUMMYFUNCTION("IMPORTRANGE(""https://docs.google.com/spreadsheets/d/1SX6NBoVAgQJ6U1MVXOaj8PK2l7WJ3RER9xtqwdhxkhw/edit?usp=sharing"",""สระบุรี!J286"")"),0)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IFERROR(__xludf.DUMMYFUNCTION("IMPORTRANGE(""https://docs.google.com/spreadsheets/d/1SX6NBoVAgQJ6U1MVXOaj8PK2l7WJ3RER9xtqwdhxkhw/edit?usp=sharing"",""สระบุรี!J287"")"),0)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IFERROR(__xludf.DUMMYFUNCTION("IMPORTRANGE(""https://docs.google.com/spreadsheets/d/1SX6NBoVAgQJ6U1MVXOaj8PK2l7WJ3RER9xtqwdhxkhw/edit?usp=sharing"",""สระบุรี!J288"")"),0)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IFERROR(__xludf.DUMMYFUNCTION("IMPORTRANGE(""https://docs.google.com/spreadsheets/d/1SX6NBoVAgQJ6U1MVXOaj8PK2l7WJ3RER9xtqwdhxkhw/edit?usp=sharing"",""สระบุรี!J289"")"),0)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IFERROR(__xludf.DUMMYFUNCTION("IMPORTRANGE(""https://docs.google.com/spreadsheets/d/1SX6NBoVAgQJ6U1MVXOaj8PK2l7WJ3RER9xtqwdhxkhw/edit?usp=sharing"",""สระบุรี!I291"")"),20)</f>
        <v>20</v>
      </c>
      <c r="J396" s="199">
        <f ca="1">IFERROR(__xludf.DUMMYFUNCTION("IMPORTRANGE(""https://docs.google.com/spreadsheets/d/1SX6NBoVAgQJ6U1MVXOaj8PK2l7WJ3RER9xtqwdhxkhw/edit?usp=sharing"",""สระบุรี!J291"")"),20)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IFERROR(__xludf.DUMMYFUNCTION("IMPORTRANGE(""https://docs.google.com/spreadsheets/d/1SX6NBoVAgQJ6U1MVXOaj8PK2l7WJ3RER9xtqwdhxkhw/edit?usp=sharing"",""สระบุรี!I292"")"),200)</f>
        <v>200</v>
      </c>
      <c r="J397" s="199">
        <f ca="1">IFERROR(__xludf.DUMMYFUNCTION("IMPORTRANGE(""https://docs.google.com/spreadsheets/d/1SX6NBoVAgQJ6U1MVXOaj8PK2l7WJ3RER9xtqwdhxkhw/edit?usp=sharing"",""สระบุรี!J292"")"),0)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IFERROR(__xludf.DUMMYFUNCTION("IMPORTRANGE(""https://docs.google.com/spreadsheets/d/1SX6NBoVAgQJ6U1MVXOaj8PK2l7WJ3RER9xtqwdhxkhw/edit?usp=sharing"",""สระบุรี!I293"")"),20)</f>
        <v>20</v>
      </c>
      <c r="J398" s="199">
        <f ca="1">IFERROR(__xludf.DUMMYFUNCTION("IMPORTRANGE(""https://docs.google.com/spreadsheets/d/1SX6NBoVAgQJ6U1MVXOaj8PK2l7WJ3RER9xtqwdhxkhw/edit?usp=sharing"",""สระบุรี!J293"")"),0)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IFERROR(__xludf.DUMMYFUNCTION("IMPORTRANGE(""https://docs.google.com/spreadsheets/d/1SX6NBoVAgQJ6U1MVXOaj8PK2l7WJ3RER9xtqwdhxkhw/edit?usp=sharing"",""สระบุรี!J294"")"),0)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IFERROR(__xludf.DUMMYFUNCTION("IMPORTRANGE(""https://docs.google.com/spreadsheets/d/1SX6NBoVAgQJ6U1MVXOaj8PK2l7WJ3RER9xtqwdhxkhw/edit?usp=sharing"",""สระบุรี!J295"")"),0)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IFERROR(__xludf.DUMMYFUNCTION("IMPORTRANGE(""https://docs.google.com/spreadsheets/d/1SX6NBoVAgQJ6U1MVXOaj8PK2l7WJ3RER9xtqwdhxkhw/edit?usp=sharing"",""สระบุรี!M296"")"),19000)</f>
        <v>19000</v>
      </c>
      <c r="O401" s="373">
        <f ca="1">+IF(L401&gt;0,N401*100/L401,0)</f>
        <v>18.642072213500786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IFERROR(__xludf.DUMMYFUNCTION("IMPORTRANGE(""https://docs.google.com/spreadsheets/d/1SX6NBoVAgQJ6U1MVXOaj8PK2l7WJ3RER9xtqwdhxkhw/edit?usp=sharing"",""สระบุรี!L298"")"),0)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IFERROR(__xludf.DUMMYFUNCTION("IMPORTRANGE(""https://docs.google.com/spreadsheets/d/1SX6NBoVAgQJ6U1MVXOaj8PK2l7WJ3RER9xtqwdhxkhw/edit?usp=sharing"",""สระบุรี!M298"")"),0)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IFERROR(__xludf.DUMMYFUNCTION("IMPORTRANGE(""https://docs.google.com/spreadsheets/d/1SX6NBoVAgQJ6U1MVXOaj8PK2l7WJ3RER9xtqwdhxkhw/edit?usp=sharing"",""สระบุรี!L299"")"),101920)</f>
        <v>101920</v>
      </c>
      <c r="M404" s="167"/>
      <c r="N404" s="170">
        <f ca="1">IFERROR(__xludf.DUMMYFUNCTION("IMPORTRANGE(""https://docs.google.com/spreadsheets/d/1SX6NBoVAgQJ6U1MVXOaj8PK2l7WJ3RER9xtqwdhxkhw/edit?usp=sharing"",""สระบุรี!M299"")"),19000)</f>
        <v>19000</v>
      </c>
      <c r="O404" s="170">
        <f t="shared" ca="1" si="112"/>
        <v>18.642072213500786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IFERROR(__xludf.DUMMYFUNCTION("IMPORTRANGE(""https://docs.google.com/spreadsheets/d/1SX6NBoVAgQJ6U1MVXOaj8PK2l7WJ3RER9xtqwdhxkhw/edit?usp=sharing"",""สระบุรี!L300"")"),0)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IFERROR(__xludf.DUMMYFUNCTION("IMPORTRANGE(""https://docs.google.com/spreadsheets/d/1SX6NBoVAgQJ6U1MVXOaj8PK2l7WJ3RER9xtqwdhxkhw/edit?usp=sharing"",""สระบุรี!M300"")"),0)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IFERROR(__xludf.DUMMYFUNCTION("IMPORTRANGE(""https://docs.google.com/spreadsheets/d/1SX6NBoVAgQJ6U1MVXOaj8PK2l7WJ3RER9xtqwdhxkhw/edit?usp=sharing"",""สระบุรี!L301"")"),101920)</f>
        <v>101920</v>
      </c>
      <c r="M406" s="170"/>
      <c r="N406" s="170">
        <f ca="1">IFERROR(__xludf.DUMMYFUNCTION("IMPORTRANGE(""https://docs.google.com/spreadsheets/d/1SX6NBoVAgQJ6U1MVXOaj8PK2l7WJ3RER9xtqwdhxkhw/edit?usp=sharing"",""สระบุรี!M301"")"),19000)</f>
        <v>19000</v>
      </c>
      <c r="O406" s="170">
        <f t="shared" ca="1" si="112"/>
        <v>18.642072213500786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IFERROR(__xludf.DUMMYFUNCTION("IMPORTRANGE(""https://docs.google.com/spreadsheets/d/1SX6NBoVAgQJ6U1MVXOaj8PK2l7WJ3RER9xtqwdhxkhw/edit?usp=sharing"",""สระบุรี!M302"")"),17000)</f>
        <v>17000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IFERROR(__xludf.DUMMYFUNCTION("IMPORTRANGE(""https://docs.google.com/spreadsheets/d/1SX6NBoVAgQJ6U1MVXOaj8PK2l7WJ3RER9xtqwdhxkhw/edit?usp=sharing"",""สระบุรี!M303"")"),0)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IFERROR(__xludf.DUMMYFUNCTION("IMPORTRANGE(""https://docs.google.com/spreadsheets/d/1SX6NBoVAgQJ6U1MVXOaj8PK2l7WJ3RER9xtqwdhxkhw/edit?usp=sharing"",""สระบุรี!M305"")"),2000)</f>
        <v>2000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IFERROR(__xludf.DUMMYFUNCTION("IMPORTRANGE(""https://docs.google.com/spreadsheets/d/1SX6NBoVAgQJ6U1MVXOaj8PK2l7WJ3RER9xtqwdhxkhw/edit?usp=sharing"",""สระบุรี!J307"")"),0)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IFERROR(__xludf.DUMMYFUNCTION("IMPORTRANGE(""https://docs.google.com/spreadsheets/d/1SX6NBoVAgQJ6U1MVXOaj8PK2l7WJ3RER9xtqwdhxkhw/edit?usp=sharing"",""สระบุรี!J308"")"),1)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IFERROR(__xludf.DUMMYFUNCTION("IMPORTRANGE(""https://docs.google.com/spreadsheets/d/1SX6NBoVAgQJ6U1MVXOaj8PK2l7WJ3RER9xtqwdhxkhw/edit?usp=sharing"",""สระบุรี!J309"")"),1)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IFERROR(__xludf.DUMMYFUNCTION("IMPORTRANGE(""https://docs.google.com/spreadsheets/d/1SX6NBoVAgQJ6U1MVXOaj8PK2l7WJ3RER9xtqwdhxkhw/edit?usp=sharing"",""สระบุรี!J310"")"),1)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IFERROR(__xludf.DUMMYFUNCTION("IMPORTRANGE(""https://docs.google.com/spreadsheets/d/1SX6NBoVAgQJ6U1MVXOaj8PK2l7WJ3RER9xtqwdhxkhw/edit?usp=sharing"",""สระบุรี!I311"")"),30)</f>
        <v>30</v>
      </c>
      <c r="J416" s="202">
        <f ca="1">IFERROR(__xludf.DUMMYFUNCTION("IMPORTRANGE(""https://docs.google.com/spreadsheets/d/1SX6NBoVAgQJ6U1MVXOaj8PK2l7WJ3RER9xtqwdhxkhw/edit?usp=sharing"",""สระบุรี!J311"")"),0)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IFERROR(__xludf.DUMMYFUNCTION("IMPORTRANGE(""https://docs.google.com/spreadsheets/d/1SX6NBoVAgQJ6U1MVXOaj8PK2l7WJ3RER9xtqwdhxkhw/edit?usp=sharing"",""สระบุรี!J328"")"),0)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IFERROR(__xludf.DUMMYFUNCTION("IMPORTRANGE(""https://docs.google.com/spreadsheets/d/1SX6NBoVAgQJ6U1MVXOaj8PK2l7WJ3RER9xtqwdhxkhw/edit?usp=sharing"",""สระบุรี!J329"")"),0)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IFERROR(__xludf.DUMMYFUNCTION("IMPORTRANGE(""https://docs.google.com/spreadsheets/d/1SX6NBoVAgQJ6U1MVXOaj8PK2l7WJ3RER9xtqwdhxkhw/edit?usp=sharing"",""สระบุรี!M330"")"),45280)</f>
        <v>45280</v>
      </c>
      <c r="O435" s="412">
        <f t="shared" ref="O435:O439" ca="1" si="114">+IF(L435&gt;0,N435*100/L435,0)</f>
        <v>51.454545454545453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IFERROR(__xludf.DUMMYFUNCTION("IMPORTRANGE(""https://docs.google.com/spreadsheets/d/1SX6NBoVAgQJ6U1MVXOaj8PK2l7WJ3RER9xtqwdhxkhw/edit?usp=sharing"",""สระบุรี!L331"")"),0)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IFERROR(__xludf.DUMMYFUNCTION("IMPORTRANGE(""https://docs.google.com/spreadsheets/d/1SX6NBoVAgQJ6U1MVXOaj8PK2l7WJ3RER9xtqwdhxkhw/edit?usp=sharing"",""สระบุรี!M331"")"),0)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IFERROR(__xludf.DUMMYFUNCTION("IMPORTRANGE(""https://docs.google.com/spreadsheets/d/1SX6NBoVAgQJ6U1MVXOaj8PK2l7WJ3RER9xtqwdhxkhw/edit?usp=sharing"",""สระบุรี!L332"")"),88000)</f>
        <v>88000</v>
      </c>
      <c r="M437" s="167"/>
      <c r="N437" s="170">
        <f ca="1">IFERROR(__xludf.DUMMYFUNCTION("IMPORTRANGE(""https://docs.google.com/spreadsheets/d/1SX6NBoVAgQJ6U1MVXOaj8PK2l7WJ3RER9xtqwdhxkhw/edit?usp=sharing"",""สระบุรี!M332"")"),45280)</f>
        <v>45280</v>
      </c>
      <c r="O437" s="170">
        <f t="shared" ca="1" si="114"/>
        <v>51.454545454545453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IFERROR(__xludf.DUMMYFUNCTION("IMPORTRANGE(""https://docs.google.com/spreadsheets/d/1SX6NBoVAgQJ6U1MVXOaj8PK2l7WJ3RER9xtqwdhxkhw/edit?usp=sharing"",""สระบุรี!L333"")"),0)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IFERROR(__xludf.DUMMYFUNCTION("IMPORTRANGE(""https://docs.google.com/spreadsheets/d/1SX6NBoVAgQJ6U1MVXOaj8PK2l7WJ3RER9xtqwdhxkhw/edit?usp=sharing"",""สระบุรี!M333"")"),0)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IFERROR(__xludf.DUMMYFUNCTION("IMPORTRANGE(""https://docs.google.com/spreadsheets/d/1SX6NBoVAgQJ6U1MVXOaj8PK2l7WJ3RER9xtqwdhxkhw/edit?usp=sharing"",""สระบุรี!L334"")"),88000)</f>
        <v>88000</v>
      </c>
      <c r="M439" s="170"/>
      <c r="N439" s="170">
        <f ca="1">IFERROR(__xludf.DUMMYFUNCTION("IMPORTRANGE(""https://docs.google.com/spreadsheets/d/1SX6NBoVAgQJ6U1MVXOaj8PK2l7WJ3RER9xtqwdhxkhw/edit?usp=sharing"",""สระบุรี!M334"")"),45280)</f>
        <v>45280</v>
      </c>
      <c r="O439" s="170">
        <f t="shared" ca="1" si="114"/>
        <v>51.454545454545453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IFERROR(__xludf.DUMMYFUNCTION("IMPORTRANGE(""https://docs.google.com/spreadsheets/d/1SX6NBoVAgQJ6U1MVXOaj8PK2l7WJ3RER9xtqwdhxkhw/edit?usp=sharing"",""สระบุรี!M335"")"),0)</f>
        <v>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IFERROR(__xludf.DUMMYFUNCTION("IMPORTRANGE(""https://docs.google.com/spreadsheets/d/1SX6NBoVAgQJ6U1MVXOaj8PK2l7WJ3RER9xtqwdhxkhw/edit?usp=sharing"",""สระบุรี!M338"")"),45280)</f>
        <v>45280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IFERROR(__xludf.DUMMYFUNCTION("IMPORTRANGE(""https://docs.google.com/spreadsheets/d/1SX6NBoVAgQJ6U1MVXOaj8PK2l7WJ3RER9xtqwdhxkhw/edit?usp=sharing"",""สระบุรี!J342"")"),1)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IFERROR(__xludf.DUMMYFUNCTION("IMPORTRANGE(""https://docs.google.com/spreadsheets/d/1SX6NBoVAgQJ6U1MVXOaj8PK2l7WJ3RER9xtqwdhxkhw/edit?usp=sharing"",""สระบุรี!J343"")"),1)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2">
        <f ca="1">IFERROR(__xludf.DUMMYFUNCTION("IMPORTRANGE(""https://docs.google.com/spreadsheets/d/1SX6NBoVAgQJ6U1MVXOaj8PK2l7WJ3RER9xtqwdhxkhw/edit?usp=sharing"",""สระบุรี!J344"")"),15)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IFERROR(__xludf.DUMMYFUNCTION("IMPORTRANGE(""https://docs.google.com/spreadsheets/d/1SX6NBoVAgQJ6U1MVXOaj8PK2l7WJ3RER9xtqwdhxkhw/edit?usp=sharing"",""สระบุรี!I345"")"),15)</f>
        <v>15</v>
      </c>
      <c r="J450" s="190">
        <f ca="1">IFERROR(__xludf.DUMMYFUNCTION("IMPORTRANGE(""https://docs.google.com/spreadsheets/d/1SX6NBoVAgQJ6U1MVXOaj8PK2l7WJ3RER9xtqwdhxkhw/edit?usp=sharing"",""สระบุรี!J345"")"),15)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IFERROR(__xludf.DUMMYFUNCTION("IMPORTRANGE(""https://docs.google.com/spreadsheets/d/1SX6NBoVAgQJ6U1MVXOaj8PK2l7WJ3RER9xtqwdhxkhw/edit?usp=sharing"",""สระบุรี!I346"")"),0)</f>
        <v>0</v>
      </c>
      <c r="J451" s="189">
        <f ca="1">IFERROR(__xludf.DUMMYFUNCTION("IMPORTRANGE(""https://docs.google.com/spreadsheets/d/1SX6NBoVAgQJ6U1MVXOaj8PK2l7WJ3RER9xtqwdhxkhw/edit?usp=sharing"",""สระบุรี!J346"")"),0)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IFERROR(__xludf.DUMMYFUNCTION("IMPORTRANGE(""https://docs.google.com/spreadsheets/d/1SX6NBoVAgQJ6U1MVXOaj8PK2l7WJ3RER9xtqwdhxkhw/edit?usp=sharing"",""สระบุรี!I347"")"),0)</f>
        <v>0</v>
      </c>
      <c r="J452" s="189">
        <f ca="1">IFERROR(__xludf.DUMMYFUNCTION("IMPORTRANGE(""https://docs.google.com/spreadsheets/d/1SX6NBoVAgQJ6U1MVXOaj8PK2l7WJ3RER9xtqwdhxkhw/edit?usp=sharing"",""สระบุรี!J347"")"),0)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IFERROR(__xludf.DUMMYFUNCTION("IMPORTRANGE(""https://docs.google.com/spreadsheets/d/1SX6NBoVAgQJ6U1MVXOaj8PK2l7WJ3RER9xtqwdhxkhw/edit?usp=sharing"",""สระบุรี!J348"")"),0)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IFERROR(__xludf.DUMMYFUNCTION("IMPORTRANGE(""https://docs.google.com/spreadsheets/d/1SX6NBoVAgQJ6U1MVXOaj8PK2l7WJ3RER9xtqwdhxkhw/edit?usp=sharing"",""สระบุรี!J349"")"),0)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IFERROR(__xludf.DUMMYFUNCTION("IMPORTRANGE(""https://docs.google.com/spreadsheets/d/1SX6NBoVAgQJ6U1MVXOaj8PK2l7WJ3RER9xtqwdhxkhw/edit?usp=sharing"",""สระบุรี!L350"")"),285044)</f>
        <v>285044</v>
      </c>
      <c r="M455" s="373"/>
      <c r="N455" s="373">
        <f ca="1">IFERROR(__xludf.DUMMYFUNCTION("IMPORTRANGE(""https://docs.google.com/spreadsheets/d/1SX6NBoVAgQJ6U1MVXOaj8PK2l7WJ3RER9xtqwdhxkhw/edit?usp=sharing"",""สระบุรี!M350"")"),60169)</f>
        <v>60169</v>
      </c>
      <c r="O455" s="373">
        <f t="shared" ref="O455:O459" ca="1" si="116">+IF(L455&gt;0,N455*100/L455,0)</f>
        <v>21.108670942030002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IFERROR(__xludf.DUMMYFUNCTION("IMPORTRANGE(""https://docs.google.com/spreadsheets/d/1SX6NBoVAgQJ6U1MVXOaj8PK2l7WJ3RER9xtqwdhxkhw/edit?usp=sharing"",""สระบุรี!L351"")"),0)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IFERROR(__xludf.DUMMYFUNCTION("IMPORTRANGE(""https://docs.google.com/spreadsheets/d/1SX6NBoVAgQJ6U1MVXOaj8PK2l7WJ3RER9xtqwdhxkhw/edit?usp=sharing"",""สระบุรี!M351"")"),0)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IFERROR(__xludf.DUMMYFUNCTION("IMPORTRANGE(""https://docs.google.com/spreadsheets/d/1SX6NBoVAgQJ6U1MVXOaj8PK2l7WJ3RER9xtqwdhxkhw/edit?usp=sharing"",""สระบุรี!L352"")"),285044)</f>
        <v>285044</v>
      </c>
      <c r="M457" s="167"/>
      <c r="N457" s="170">
        <f ca="1">IFERROR(__xludf.DUMMYFUNCTION("IMPORTRANGE(""https://docs.google.com/spreadsheets/d/1SX6NBoVAgQJ6U1MVXOaj8PK2l7WJ3RER9xtqwdhxkhw/edit?usp=sharing"",""สระบุรี!M352"")"),60169)</f>
        <v>60169</v>
      </c>
      <c r="O457" s="170">
        <f t="shared" ca="1" si="116"/>
        <v>21.108670942030002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IFERROR(__xludf.DUMMYFUNCTION("IMPORTRANGE(""https://docs.google.com/spreadsheets/d/1SX6NBoVAgQJ6U1MVXOaj8PK2l7WJ3RER9xtqwdhxkhw/edit?usp=sharing"",""สระบุรี!L353"")"),0)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IFERROR(__xludf.DUMMYFUNCTION("IMPORTRANGE(""https://docs.google.com/spreadsheets/d/1SX6NBoVAgQJ6U1MVXOaj8PK2l7WJ3RER9xtqwdhxkhw/edit?usp=sharing"",""สระบุรี!M353"")"),0)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IFERROR(__xludf.DUMMYFUNCTION("IMPORTRANGE(""https://docs.google.com/spreadsheets/d/1SX6NBoVAgQJ6U1MVXOaj8PK2l7WJ3RER9xtqwdhxkhw/edit?usp=sharing"",""สระบุรี!L354"")"),285044)</f>
        <v>285044</v>
      </c>
      <c r="M459" s="170"/>
      <c r="N459" s="170">
        <f ca="1">IFERROR(__xludf.DUMMYFUNCTION("IMPORTRANGE(""https://docs.google.com/spreadsheets/d/1SX6NBoVAgQJ6U1MVXOaj8PK2l7WJ3RER9xtqwdhxkhw/edit?usp=sharing"",""สระบุรี!M354"")"),60169)</f>
        <v>60169</v>
      </c>
      <c r="O459" s="170">
        <f t="shared" ca="1" si="116"/>
        <v>21.108670942030002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IFERROR(__xludf.DUMMYFUNCTION("IMPORTRANGE(""https://docs.google.com/spreadsheets/d/1SX6NBoVAgQJ6U1MVXOaj8PK2l7WJ3RER9xtqwdhxkhw/edit?usp=sharing"",""สระบุรี!M355"")"),0)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IFERROR(__xludf.DUMMYFUNCTION("IMPORTRANGE(""https://docs.google.com/spreadsheets/d/1SX6NBoVAgQJ6U1MVXOaj8PK2l7WJ3RER9xtqwdhxkhw/edit?usp=sharing"",""สระบุรี!M356"")"),0)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IFERROR(__xludf.DUMMYFUNCTION("IMPORTRANGE(""https://docs.google.com/spreadsheets/d/1SX6NBoVAgQJ6U1MVXOaj8PK2l7WJ3RER9xtqwdhxkhw/edit?usp=sharing"",""สระบุรี!M358"")"),60169)</f>
        <v>60169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IFERROR(__xludf.DUMMYFUNCTION("IMPORTRANGE(""https://docs.google.com/spreadsheets/d/1SX6NBoVAgQJ6U1MVXOaj8PK2l7WJ3RER9xtqwdhxkhw/edit?usp=sharing"",""สระบุรี!J360"")"),4482)</f>
        <v>4482</v>
      </c>
      <c r="K465" s="203">
        <f t="shared" ca="1" si="117"/>
        <v>90.563750252576284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IFERROR(__xludf.DUMMYFUNCTION("IMPORTRANGE(""https://docs.google.com/spreadsheets/d/1SX6NBoVAgQJ6U1MVXOaj8PK2l7WJ3RER9xtqwdhxkhw/edit?usp=sharing"",""สระบุรี!I362"")"),0)</f>
        <v>0</v>
      </c>
      <c r="J467" s="190">
        <f ca="1">IFERROR(__xludf.DUMMYFUNCTION("IMPORTRANGE(""https://docs.google.com/spreadsheets/d/1SX6NBoVAgQJ6U1MVXOaj8PK2l7WJ3RER9xtqwdhxkhw/edit?usp=sharing"",""สระบุรี!J362"")"),2964)</f>
        <v>2964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IFERROR(__xludf.DUMMYFUNCTION("IMPORTRANGE(""https://docs.google.com/spreadsheets/d/1SX6NBoVAgQJ6U1MVXOaj8PK2l7WJ3RER9xtqwdhxkhw/edit?usp=sharing"",""สระบุรี!I363"")"),0)</f>
        <v>0</v>
      </c>
      <c r="J468" s="190">
        <f ca="1">IFERROR(__xludf.DUMMYFUNCTION("IMPORTRANGE(""https://docs.google.com/spreadsheets/d/1SX6NBoVAgQJ6U1MVXOaj8PK2l7WJ3RER9xtqwdhxkhw/edit?usp=sharing"",""สระบุรี!J363"")"),600)</f>
        <v>600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IFERROR(__xludf.DUMMYFUNCTION("IMPORTRANGE(""https://docs.google.com/spreadsheets/d/1SX6NBoVAgQJ6U1MVXOaj8PK2l7WJ3RER9xtqwdhxkhw/edit?usp=sharing"",""สระบุรี!I364"")"),0)</f>
        <v>0</v>
      </c>
      <c r="J469" s="190">
        <f ca="1">IFERROR(__xludf.DUMMYFUNCTION("IMPORTRANGE(""https://docs.google.com/spreadsheets/d/1SX6NBoVAgQJ6U1MVXOaj8PK2l7WJ3RER9xtqwdhxkhw/edit?usp=sharing"",""สระบุรี!J364"")"),548)</f>
        <v>548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IFERROR(__xludf.DUMMYFUNCTION("IMPORTRANGE(""https://docs.google.com/spreadsheets/d/1SX6NBoVAgQJ6U1MVXOaj8PK2l7WJ3RER9xtqwdhxkhw/edit?usp=sharing"",""สระบุรี!I365"")"),0)</f>
        <v>0</v>
      </c>
      <c r="J470" s="190">
        <f ca="1">IFERROR(__xludf.DUMMYFUNCTION("IMPORTRANGE(""https://docs.google.com/spreadsheets/d/1SX6NBoVAgQJ6U1MVXOaj8PK2l7WJ3RER9xtqwdhxkhw/edit?usp=sharing"",""สระบุรี!J365"")"),121)</f>
        <v>121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IFERROR(__xludf.DUMMYFUNCTION("IMPORTRANGE(""https://docs.google.com/spreadsheets/d/1SX6NBoVAgQJ6U1MVXOaj8PK2l7WJ3RER9xtqwdhxkhw/edit?usp=sharing"",""สระบุรี!I366"")"),0)</f>
        <v>0</v>
      </c>
      <c r="J471" s="190">
        <f ca="1">IFERROR(__xludf.DUMMYFUNCTION("IMPORTRANGE(""https://docs.google.com/spreadsheets/d/1SX6NBoVAgQJ6U1MVXOaj8PK2l7WJ3RER9xtqwdhxkhw/edit?usp=sharing"",""สระบุรี!J366"")"),970)</f>
        <v>970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IFERROR(__xludf.DUMMYFUNCTION("IMPORTRANGE(""https://docs.google.com/spreadsheets/d/1SX6NBoVAgQJ6U1MVXOaj8PK2l7WJ3RER9xtqwdhxkhw/edit?usp=sharing"",""สระบุรี!I367"")"),0)</f>
        <v>0</v>
      </c>
      <c r="J472" s="190">
        <f ca="1">IFERROR(__xludf.DUMMYFUNCTION("IMPORTRANGE(""https://docs.google.com/spreadsheets/d/1SX6NBoVAgQJ6U1MVXOaj8PK2l7WJ3RER9xtqwdhxkhw/edit?usp=sharing"",""สระบุรี!J367"")"),135)</f>
        <v>135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IFERROR(__xludf.DUMMYFUNCTION("IMPORTRANGE(""https://docs.google.com/spreadsheets/d/1SX6NBoVAgQJ6U1MVXOaj8PK2l7WJ3RER9xtqwdhxkhw/edit?usp=sharing"",""สระบุรี!J368"")"),41.12)</f>
        <v>41.12</v>
      </c>
      <c r="K473" s="203">
        <f t="shared" ca="1" si="117"/>
        <v>0.83087492422711662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IFERROR(__xludf.DUMMYFUNCTION("IMPORTRANGE(""https://docs.google.com/spreadsheets/d/1SX6NBoVAgQJ6U1MVXOaj8PK2l7WJ3RER9xtqwdhxkhw/edit?usp=sharing"",""สระบุรี!J369"")"),13)</f>
        <v>13</v>
      </c>
      <c r="K474" s="165">
        <f t="shared" ca="1" si="117"/>
        <v>1.5186915887850467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IFERROR(__xludf.DUMMYFUNCTION("IMPORTRANGE(""https://docs.google.com/spreadsheets/d/1SX6NBoVAgQJ6U1MVXOaj8PK2l7WJ3RER9xtqwdhxkhw/edit?usp=sharing"",""สระบุรี!I370"")"),0)</f>
        <v>0</v>
      </c>
      <c r="J475" s="190">
        <f ca="1">IFERROR(__xludf.DUMMYFUNCTION("IMPORTRANGE(""https://docs.google.com/spreadsheets/d/1SX6NBoVAgQJ6U1MVXOaj8PK2l7WJ3RER9xtqwdhxkhw/edit?usp=sharing"",""สระบุรี!J370"")"),38.31)</f>
        <v>38.31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IFERROR(__xludf.DUMMYFUNCTION("IMPORTRANGE(""https://docs.google.com/spreadsheets/d/1SX6NBoVAgQJ6U1MVXOaj8PK2l7WJ3RER9xtqwdhxkhw/edit?usp=sharing"",""สระบุรี!I371"")"),0)</f>
        <v>0</v>
      </c>
      <c r="J476" s="190">
        <f ca="1">IFERROR(__xludf.DUMMYFUNCTION("IMPORTRANGE(""https://docs.google.com/spreadsheets/d/1SX6NBoVAgQJ6U1MVXOaj8PK2l7WJ3RER9xtqwdhxkhw/edit?usp=sharing"",""สระบุรี!J371"")"),11)</f>
        <v>11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IFERROR(__xludf.DUMMYFUNCTION("IMPORTRANGE(""https://docs.google.com/spreadsheets/d/1SX6NBoVAgQJ6U1MVXOaj8PK2l7WJ3RER9xtqwdhxkhw/edit?usp=sharing"",""สระบุรี!I372"")"),0)</f>
        <v>0</v>
      </c>
      <c r="J477" s="190">
        <f ca="1">IFERROR(__xludf.DUMMYFUNCTION("IMPORTRANGE(""https://docs.google.com/spreadsheets/d/1SX6NBoVAgQJ6U1MVXOaj8PK2l7WJ3RER9xtqwdhxkhw/edit?usp=sharing"",""สระบุรี!J372"")"),0)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IFERROR(__xludf.DUMMYFUNCTION("IMPORTRANGE(""https://docs.google.com/spreadsheets/d/1SX6NBoVAgQJ6U1MVXOaj8PK2l7WJ3RER9xtqwdhxkhw/edit?usp=sharing"",""สระบุรี!I373"")"),0)</f>
        <v>0</v>
      </c>
      <c r="J478" s="190">
        <f ca="1">IFERROR(__xludf.DUMMYFUNCTION("IMPORTRANGE(""https://docs.google.com/spreadsheets/d/1SX6NBoVAgQJ6U1MVXOaj8PK2l7WJ3RER9xtqwdhxkhw/edit?usp=sharing"",""สระบุรี!J373"")"),0)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IFERROR(__xludf.DUMMYFUNCTION("IMPORTRANGE(""https://docs.google.com/spreadsheets/d/1SX6NBoVAgQJ6U1MVXOaj8PK2l7WJ3RER9xtqwdhxkhw/edit?usp=sharing"",""สระบุรี!I374"")"),0)</f>
        <v>0</v>
      </c>
      <c r="J479" s="190">
        <f ca="1">IFERROR(__xludf.DUMMYFUNCTION("IMPORTRANGE(""https://docs.google.com/spreadsheets/d/1SX6NBoVAgQJ6U1MVXOaj8PK2l7WJ3RER9xtqwdhxkhw/edit?usp=sharing"",""สระบุรี!J374"")"),2.81)</f>
        <v>2.81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IFERROR(__xludf.DUMMYFUNCTION("IMPORTRANGE(""https://docs.google.com/spreadsheets/d/1SX6NBoVAgQJ6U1MVXOaj8PK2l7WJ3RER9xtqwdhxkhw/edit?usp=sharing"",""สระบุรี!I375"")"),0)</f>
        <v>0</v>
      </c>
      <c r="J480" s="190">
        <f ca="1">IFERROR(__xludf.DUMMYFUNCTION("IMPORTRANGE(""https://docs.google.com/spreadsheets/d/1SX6NBoVAgQJ6U1MVXOaj8PK2l7WJ3RER9xtqwdhxkhw/edit?usp=sharing"",""สระบุรี!J375"")"),2)</f>
        <v>2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IFERROR(__xludf.DUMMYFUNCTION("IMPORTRANGE(""https://docs.google.com/spreadsheets/d/1SX6NBoVAgQJ6U1MVXOaj8PK2l7WJ3RER9xtqwdhxkhw/edit?usp=sharing"",""สระบุรี!I378"")"),0)</f>
        <v>0</v>
      </c>
      <c r="J483" s="190">
        <f ca="1">IFERROR(__xludf.DUMMYFUNCTION("IMPORTRANGE(""https://docs.google.com/spreadsheets/d/1SX6NBoVAgQJ6U1MVXOaj8PK2l7WJ3RER9xtqwdhxkhw/edit?usp=sharing"",""สระบุรี!J378"")"),0)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IFERROR(__xludf.DUMMYFUNCTION("IMPORTRANGE(""https://docs.google.com/spreadsheets/d/1SX6NBoVAgQJ6U1MVXOaj8PK2l7WJ3RER9xtqwdhxkhw/edit?usp=sharing"",""สระบุรี!I379"")"),0)</f>
        <v>0</v>
      </c>
      <c r="J484" s="190">
        <f ca="1">IFERROR(__xludf.DUMMYFUNCTION("IMPORTRANGE(""https://docs.google.com/spreadsheets/d/1SX6NBoVAgQJ6U1MVXOaj8PK2l7WJ3RER9xtqwdhxkhw/edit?usp=sharing"",""สระบุรี!J379"")"),0)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IFERROR(__xludf.DUMMYFUNCTION("IMPORTRANGE(""https://docs.google.com/spreadsheets/d/1SX6NBoVAgQJ6U1MVXOaj8PK2l7WJ3RER9xtqwdhxkhw/edit?usp=sharing"",""สระบุรี!I380"")"),0)</f>
        <v>0</v>
      </c>
      <c r="J485" s="190">
        <f ca="1">IFERROR(__xludf.DUMMYFUNCTION("IMPORTRANGE(""https://docs.google.com/spreadsheets/d/1SX6NBoVAgQJ6U1MVXOaj8PK2l7WJ3RER9xtqwdhxkhw/edit?usp=sharing"",""สระบุรี!J380"")"),0)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IFERROR(__xludf.DUMMYFUNCTION("IMPORTRANGE(""https://docs.google.com/spreadsheets/d/1SX6NBoVAgQJ6U1MVXOaj8PK2l7WJ3RER9xtqwdhxkhw/edit?usp=sharing"",""สระบุรี!I381"")"),0)</f>
        <v>0</v>
      </c>
      <c r="J486" s="190">
        <f ca="1">IFERROR(__xludf.DUMMYFUNCTION("IMPORTRANGE(""https://docs.google.com/spreadsheets/d/1SX6NBoVAgQJ6U1MVXOaj8PK2l7WJ3RER9xtqwdhxkhw/edit?usp=sharing"",""สระบุรี!J381"")"),0)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IFERROR(__xludf.DUMMYFUNCTION("IMPORTRANGE(""https://docs.google.com/spreadsheets/d/1SX6NBoVAgQJ6U1MVXOaj8PK2l7WJ3RER9xtqwdhxkhw/edit?usp=sharing"",""สระบุรี!I384"")"),0)</f>
        <v>0</v>
      </c>
      <c r="J489" s="190">
        <f ca="1">IFERROR(__xludf.DUMMYFUNCTION("IMPORTRANGE(""https://docs.google.com/spreadsheets/d/1SX6NBoVAgQJ6U1MVXOaj8PK2l7WJ3RER9xtqwdhxkhw/edit?usp=sharing"",""สระบุรี!J384"")"),0)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IFERROR(__xludf.DUMMYFUNCTION("IMPORTRANGE(""https://docs.google.com/spreadsheets/d/1SX6NBoVAgQJ6U1MVXOaj8PK2l7WJ3RER9xtqwdhxkhw/edit?usp=sharing"",""สระบุรี!I385"")"),0)</f>
        <v>0</v>
      </c>
      <c r="J490" s="190">
        <f ca="1">IFERROR(__xludf.DUMMYFUNCTION("IMPORTRANGE(""https://docs.google.com/spreadsheets/d/1SX6NBoVAgQJ6U1MVXOaj8PK2l7WJ3RER9xtqwdhxkhw/edit?usp=sharing"",""สระบุรี!J385"")"),0)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IFERROR(__xludf.DUMMYFUNCTION("IMPORTRANGE(""https://docs.google.com/spreadsheets/d/1SX6NBoVAgQJ6U1MVXOaj8PK2l7WJ3RER9xtqwdhxkhw/edit?usp=sharing"",""สระบุรี!I386"")"),0)</f>
        <v>0</v>
      </c>
      <c r="J491" s="190">
        <f ca="1">IFERROR(__xludf.DUMMYFUNCTION("IMPORTRANGE(""https://docs.google.com/spreadsheets/d/1SX6NBoVAgQJ6U1MVXOaj8PK2l7WJ3RER9xtqwdhxkhw/edit?usp=sharing"",""สระบุรี!J386"")"),0)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IFERROR(__xludf.DUMMYFUNCTION("IMPORTRANGE(""https://docs.google.com/spreadsheets/d/1SX6NBoVAgQJ6U1MVXOaj8PK2l7WJ3RER9xtqwdhxkhw/edit?usp=sharing"",""สระบุรี!I387"")"),0)</f>
        <v>0</v>
      </c>
      <c r="J492" s="190">
        <f ca="1">IFERROR(__xludf.DUMMYFUNCTION("IMPORTRANGE(""https://docs.google.com/spreadsheets/d/1SX6NBoVAgQJ6U1MVXOaj8PK2l7WJ3RER9xtqwdhxkhw/edit?usp=sharing"",""สระบุรี!J387"")"),0)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IFERROR(__xludf.DUMMYFUNCTION("IMPORTRANGE(""https://docs.google.com/spreadsheets/d/1SX6NBoVAgQJ6U1MVXOaj8PK2l7WJ3RER9xtqwdhxkhw/edit?usp=sharing"",""สระบุรี!I388"")"),0)</f>
        <v>0</v>
      </c>
      <c r="J493" s="190">
        <f ca="1">IFERROR(__xludf.DUMMYFUNCTION("IMPORTRANGE(""https://docs.google.com/spreadsheets/d/1SX6NBoVAgQJ6U1MVXOaj8PK2l7WJ3RER9xtqwdhxkhw/edit?usp=sharing"",""สระบุรี!J388"")"),0)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IFERROR(__xludf.DUMMYFUNCTION("IMPORTRANGE(""https://docs.google.com/spreadsheets/d/1SX6NBoVAgQJ6U1MVXOaj8PK2l7WJ3RER9xtqwdhxkhw/edit?usp=sharing"",""สระบุรี!I395"")"),0)</f>
        <v>0</v>
      </c>
      <c r="J500" s="164">
        <f ca="1">IFERROR(__xludf.DUMMYFUNCTION("IMPORTRANGE(""https://docs.google.com/spreadsheets/d/1SX6NBoVAgQJ6U1MVXOaj8PK2l7WJ3RER9xtqwdhxkhw/edit?usp=sharing"",""สระบุรี!J395"")"),0)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IFERROR(__xludf.DUMMYFUNCTION("IMPORTRANGE(""https://docs.google.com/spreadsheets/d/1SX6NBoVAgQJ6U1MVXOaj8PK2l7WJ3RER9xtqwdhxkhw/edit?usp=sharing"",""สระบุรี!I396"")"),0)</f>
        <v>0</v>
      </c>
      <c r="J501" s="164">
        <f ca="1">IFERROR(__xludf.DUMMYFUNCTION("IMPORTRANGE(""https://docs.google.com/spreadsheets/d/1SX6NBoVAgQJ6U1MVXOaj8PK2l7WJ3RER9xtqwdhxkhw/edit?usp=sharing"",""สระบุรี!J396"")"),0)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IFERROR(__xludf.DUMMYFUNCTION("IMPORTRANGE(""https://docs.google.com/spreadsheets/d/1SX6NBoVAgQJ6U1MVXOaj8PK2l7WJ3RER9xtqwdhxkhw/edit?usp=sharing"",""สระบุรี!I397"")"),0)</f>
        <v>0</v>
      </c>
      <c r="J502" s="190">
        <f ca="1">IFERROR(__xludf.DUMMYFUNCTION("IMPORTRANGE(""https://docs.google.com/spreadsheets/d/1SX6NBoVAgQJ6U1MVXOaj8PK2l7WJ3RER9xtqwdhxkhw/edit?usp=sharing"",""สระบุรี!J397"")"),0)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IFERROR(__xludf.DUMMYFUNCTION("IMPORTRANGE(""https://docs.google.com/spreadsheets/d/1SX6NBoVAgQJ6U1MVXOaj8PK2l7WJ3RER9xtqwdhxkhw/edit?usp=sharing"",""สระบุรี!I398"")"),0)</f>
        <v>0</v>
      </c>
      <c r="J503" s="199">
        <f ca="1">IFERROR(__xludf.DUMMYFUNCTION("IMPORTRANGE(""https://docs.google.com/spreadsheets/d/1SX6NBoVAgQJ6U1MVXOaj8PK2l7WJ3RER9xtqwdhxkhw/edit?usp=sharing"",""สระบุรี!J398"")"),0)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IFERROR(__xludf.DUMMYFUNCTION("IMPORTRANGE(""https://docs.google.com/spreadsheets/d/1SX6NBoVAgQJ6U1MVXOaj8PK2l7WJ3RER9xtqwdhxkhw/edit?usp=sharing"",""สระบุรี!I399"")"),0)</f>
        <v>0</v>
      </c>
      <c r="J504" s="190">
        <f ca="1">IFERROR(__xludf.DUMMYFUNCTION("IMPORTRANGE(""https://docs.google.com/spreadsheets/d/1SX6NBoVAgQJ6U1MVXOaj8PK2l7WJ3RER9xtqwdhxkhw/edit?usp=sharing"",""สระบุรี!J399"")"),0)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IFERROR(__xludf.DUMMYFUNCTION("IMPORTRANGE(""https://docs.google.com/spreadsheets/d/1SX6NBoVAgQJ6U1MVXOaj8PK2l7WJ3RER9xtqwdhxkhw/edit?usp=sharing"",""สระบุรี!I400"")"),0)</f>
        <v>0</v>
      </c>
      <c r="J505" s="199">
        <f ca="1">IFERROR(__xludf.DUMMYFUNCTION("IMPORTRANGE(""https://docs.google.com/spreadsheets/d/1SX6NBoVAgQJ6U1MVXOaj8PK2l7WJ3RER9xtqwdhxkhw/edit?usp=sharing"",""สระบุรี!J400"")"),0)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IFERROR(__xludf.DUMMYFUNCTION("IMPORTRANGE(""https://docs.google.com/spreadsheets/d/1SX6NBoVAgQJ6U1MVXOaj8PK2l7WJ3RER9xtqwdhxkhw/edit?usp=sharing"",""สระบุรี!I401"")"),0)</f>
        <v>0</v>
      </c>
      <c r="J506" s="190">
        <f ca="1">IFERROR(__xludf.DUMMYFUNCTION("IMPORTRANGE(""https://docs.google.com/spreadsheets/d/1SX6NBoVAgQJ6U1MVXOaj8PK2l7WJ3RER9xtqwdhxkhw/edit?usp=sharing"",""สระบุรี!J401"")"),0)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IFERROR(__xludf.DUMMYFUNCTION("IMPORTRANGE(""https://docs.google.com/spreadsheets/d/1SX6NBoVAgQJ6U1MVXOaj8PK2l7WJ3RER9xtqwdhxkhw/edit?usp=sharing"",""สระบุรี!I402"")"),0)</f>
        <v>0</v>
      </c>
      <c r="J507" s="199">
        <f ca="1">IFERROR(__xludf.DUMMYFUNCTION("IMPORTRANGE(""https://docs.google.com/spreadsheets/d/1SX6NBoVAgQJ6U1MVXOaj8PK2l7WJ3RER9xtqwdhxkhw/edit?usp=sharing"",""สระบุรี!J402"")"),0)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IFERROR(__xludf.DUMMYFUNCTION("IMPORTRANGE(""https://docs.google.com/spreadsheets/d/1SX6NBoVAgQJ6U1MVXOaj8PK2l7WJ3RER9xtqwdhxkhw/edit?usp=sharing"",""สระบุรี!I403"")"),0)</f>
        <v>0</v>
      </c>
      <c r="J508" s="164">
        <f ca="1">IFERROR(__xludf.DUMMYFUNCTION("IMPORTRANGE(""https://docs.google.com/spreadsheets/d/1SX6NBoVAgQJ6U1MVXOaj8PK2l7WJ3RER9xtqwdhxkhw/edit?usp=sharing"",""สระบุรี!J403"")"),0)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IFERROR(__xludf.DUMMYFUNCTION("IMPORTRANGE(""https://docs.google.com/spreadsheets/d/1SX6NBoVAgQJ6U1MVXOaj8PK2l7WJ3RER9xtqwdhxkhw/edit?usp=sharing"",""สระบุรี!I404"")"),0)</f>
        <v>0</v>
      </c>
      <c r="J509" s="164">
        <f ca="1">IFERROR(__xludf.DUMMYFUNCTION("IMPORTRANGE(""https://docs.google.com/spreadsheets/d/1SX6NBoVAgQJ6U1MVXOaj8PK2l7WJ3RER9xtqwdhxkhw/edit?usp=sharing"",""สระบุรี!J404"")"),0)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IFERROR(__xludf.DUMMYFUNCTION("IMPORTRANGE(""https://docs.google.com/spreadsheets/d/1SX6NBoVAgQJ6U1MVXOaj8PK2l7WJ3RER9xtqwdhxkhw/edit?usp=sharing"",""สระบุรี!I405"")"),0)</f>
        <v>0</v>
      </c>
      <c r="J510" s="199">
        <f ca="1">IFERROR(__xludf.DUMMYFUNCTION("IMPORTRANGE(""https://docs.google.com/spreadsheets/d/1SX6NBoVAgQJ6U1MVXOaj8PK2l7WJ3RER9xtqwdhxkhw/edit?usp=sharing"",""สระบุรี!J405"")"),0)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IFERROR(__xludf.DUMMYFUNCTION("IMPORTRANGE(""https://docs.google.com/spreadsheets/d/1SX6NBoVAgQJ6U1MVXOaj8PK2l7WJ3RER9xtqwdhxkhw/edit?usp=sharing"",""สระบุรี!I406"")"),0)</f>
        <v>0</v>
      </c>
      <c r="J511" s="199">
        <f ca="1">IFERROR(__xludf.DUMMYFUNCTION("IMPORTRANGE(""https://docs.google.com/spreadsheets/d/1SX6NBoVAgQJ6U1MVXOaj8PK2l7WJ3RER9xtqwdhxkhw/edit?usp=sharing"",""สระบุรี!J406"")"),0)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IFERROR(__xludf.DUMMYFUNCTION("IMPORTRANGE(""https://docs.google.com/spreadsheets/d/1SX6NBoVAgQJ6U1MVXOaj8PK2l7WJ3RER9xtqwdhxkhw/edit?usp=sharing"",""สระบุรี!I407"")"),0)</f>
        <v>0</v>
      </c>
      <c r="J512" s="199">
        <f ca="1">IFERROR(__xludf.DUMMYFUNCTION("IMPORTRANGE(""https://docs.google.com/spreadsheets/d/1SX6NBoVAgQJ6U1MVXOaj8PK2l7WJ3RER9xtqwdhxkhw/edit?usp=sharing"",""สระบุรี!J407"")"),0)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IFERROR(__xludf.DUMMYFUNCTION("IMPORTRANGE(""https://docs.google.com/spreadsheets/d/1SX6NBoVAgQJ6U1MVXOaj8PK2l7WJ3RER9xtqwdhxkhw/edit?usp=sharing"",""สระบุรี!I408"")"),0)</f>
        <v>0</v>
      </c>
      <c r="J513" s="199">
        <f ca="1">IFERROR(__xludf.DUMMYFUNCTION("IMPORTRANGE(""https://docs.google.com/spreadsheets/d/1SX6NBoVAgQJ6U1MVXOaj8PK2l7WJ3RER9xtqwdhxkhw/edit?usp=sharing"",""สระบุรี!J408"")"),0)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IFERROR(__xludf.DUMMYFUNCTION("IMPORTRANGE(""https://docs.google.com/spreadsheets/d/1SX6NBoVAgQJ6U1MVXOaj8PK2l7WJ3RER9xtqwdhxkhw/edit?usp=sharing"",""สระบุรี!I409"")"),0)</f>
        <v>0</v>
      </c>
      <c r="J514" s="199">
        <f ca="1">IFERROR(__xludf.DUMMYFUNCTION("IMPORTRANGE(""https://docs.google.com/spreadsheets/d/1SX6NBoVAgQJ6U1MVXOaj8PK2l7WJ3RER9xtqwdhxkhw/edit?usp=sharing"",""สระบุรี!J409"")"),0)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IFERROR(__xludf.DUMMYFUNCTION("IMPORTRANGE(""https://docs.google.com/spreadsheets/d/1SX6NBoVAgQJ6U1MVXOaj8PK2l7WJ3RER9xtqwdhxkhw/edit?usp=sharing"",""สระบุรี!I410"")"),0)</f>
        <v>0</v>
      </c>
      <c r="J515" s="199">
        <f ca="1">IFERROR(__xludf.DUMMYFUNCTION("IMPORTRANGE(""https://docs.google.com/spreadsheets/d/1SX6NBoVAgQJ6U1MVXOaj8PK2l7WJ3RER9xtqwdhxkhw/edit?usp=sharing"",""สระบุรี!J410"")"),0)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IFERROR(__xludf.DUMMYFUNCTION("IMPORTRANGE(""https://docs.google.com/spreadsheets/d/1SX6NBoVAgQJ6U1MVXOaj8PK2l7WJ3RER9xtqwdhxkhw/edit?usp=sharing"",""สระบุรี!I412"")"),0)</f>
        <v>0</v>
      </c>
      <c r="J517" s="284">
        <f ca="1">IFERROR(__xludf.DUMMYFUNCTION("IMPORTRANGE(""https://docs.google.com/spreadsheets/d/1SX6NBoVAgQJ6U1MVXOaj8PK2l7WJ3RER9xtqwdhxkhw/edit?usp=sharing"",""สระบุรี!J412"")"),0)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IFERROR(__xludf.DUMMYFUNCTION("IMPORTRANGE(""https://docs.google.com/spreadsheets/d/1SX6NBoVAgQJ6U1MVXOaj8PK2l7WJ3RER9xtqwdhxkhw/edit?usp=sharing"",""สระบุรี!I413"")"),0)</f>
        <v>0</v>
      </c>
      <c r="J518" s="284">
        <f ca="1">IFERROR(__xludf.DUMMYFUNCTION("IMPORTRANGE(""https://docs.google.com/spreadsheets/d/1SX6NBoVAgQJ6U1MVXOaj8PK2l7WJ3RER9xtqwdhxkhw/edit?usp=sharing"",""สระบุรี!J413"")"),0)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IFERROR(__xludf.DUMMYFUNCTION("IMPORTRANGE(""https://docs.google.com/spreadsheets/d/1SX6NBoVAgQJ6U1MVXOaj8PK2l7WJ3RER9xtqwdhxkhw/edit?usp=sharing"",""สระบุรี!I414"")"),0)</f>
        <v>0</v>
      </c>
      <c r="J519" s="189">
        <f ca="1">IFERROR(__xludf.DUMMYFUNCTION("IMPORTRANGE(""https://docs.google.com/spreadsheets/d/1SX6NBoVAgQJ6U1MVXOaj8PK2l7WJ3RER9xtqwdhxkhw/edit?usp=sharing"",""สระบุรี!J414"")"),0)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IFERROR(__xludf.DUMMYFUNCTION("IMPORTRANGE(""https://docs.google.com/spreadsheets/d/1SX6NBoVAgQJ6U1MVXOaj8PK2l7WJ3RER9xtqwdhxkhw/edit?usp=sharing"",""สระบุรี!I415"")"),0)</f>
        <v>0</v>
      </c>
      <c r="J520" s="189">
        <f ca="1">IFERROR(__xludf.DUMMYFUNCTION("IMPORTRANGE(""https://docs.google.com/spreadsheets/d/1SX6NBoVAgQJ6U1MVXOaj8PK2l7WJ3RER9xtqwdhxkhw/edit?usp=sharing"",""สระบุรี!J415"")"),0)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IFERROR(__xludf.DUMMYFUNCTION("IMPORTRANGE(""https://docs.google.com/spreadsheets/d/1SX6NBoVAgQJ6U1MVXOaj8PK2l7WJ3RER9xtqwdhxkhw/edit?usp=sharing"",""สระบุรี!I416"")"),0)</f>
        <v>0</v>
      </c>
      <c r="J521" s="189">
        <f ca="1">IFERROR(__xludf.DUMMYFUNCTION("IMPORTRANGE(""https://docs.google.com/spreadsheets/d/1SX6NBoVAgQJ6U1MVXOaj8PK2l7WJ3RER9xtqwdhxkhw/edit?usp=sharing"",""สระบุรี!J416"")"),0)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IFERROR(__xludf.DUMMYFUNCTION("IMPORTRANGE(""https://docs.google.com/spreadsheets/d/1SX6NBoVAgQJ6U1MVXOaj8PK2l7WJ3RER9xtqwdhxkhw/edit?usp=sharing"",""สระบุรี!I417"")"),0)</f>
        <v>0</v>
      </c>
      <c r="J522" s="189">
        <f ca="1">IFERROR(__xludf.DUMMYFUNCTION("IMPORTRANGE(""https://docs.google.com/spreadsheets/d/1SX6NBoVAgQJ6U1MVXOaj8PK2l7WJ3RER9xtqwdhxkhw/edit?usp=sharing"",""สระบุรี!J417"")"),0)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IFERROR(__xludf.DUMMYFUNCTION("IMPORTRANGE(""https://docs.google.com/spreadsheets/d/1SX6NBoVAgQJ6U1MVXOaj8PK2l7WJ3RER9xtqwdhxkhw/edit?usp=sharing"",""สระบุรี!I418"")"),0)</f>
        <v>0</v>
      </c>
      <c r="J523" s="189">
        <f ca="1">IFERROR(__xludf.DUMMYFUNCTION("IMPORTRANGE(""https://docs.google.com/spreadsheets/d/1SX6NBoVAgQJ6U1MVXOaj8PK2l7WJ3RER9xtqwdhxkhw/edit?usp=sharing"",""สระบุรี!J418"")"),0)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IFERROR(__xludf.DUMMYFUNCTION("IMPORTRANGE(""https://docs.google.com/spreadsheets/d/1SX6NBoVAgQJ6U1MVXOaj8PK2l7WJ3RER9xtqwdhxkhw/edit?usp=sharing"",""สระบุรี!I419"")"),0)</f>
        <v>0</v>
      </c>
      <c r="J524" s="189">
        <f ca="1">IFERROR(__xludf.DUMMYFUNCTION("IMPORTRANGE(""https://docs.google.com/spreadsheets/d/1SX6NBoVAgQJ6U1MVXOaj8PK2l7WJ3RER9xtqwdhxkhw/edit?usp=sharing"",""สระบุรี!J419"")"),0)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IFERROR(__xludf.DUMMYFUNCTION("IMPORTRANGE(""https://docs.google.com/spreadsheets/d/1SX6NBoVAgQJ6U1MVXOaj8PK2l7WJ3RER9xtqwdhxkhw/edit?usp=sharing"",""สระบุรี!I420"")"),0)</f>
        <v>0</v>
      </c>
      <c r="J525" s="284">
        <f ca="1">IFERROR(__xludf.DUMMYFUNCTION("IMPORTRANGE(""https://docs.google.com/spreadsheets/d/1SX6NBoVAgQJ6U1MVXOaj8PK2l7WJ3RER9xtqwdhxkhw/edit?usp=sharing"",""สระบุรี!J420"")"),0)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IFERROR(__xludf.DUMMYFUNCTION("IMPORTRANGE(""https://docs.google.com/spreadsheets/d/1SX6NBoVAgQJ6U1MVXOaj8PK2l7WJ3RER9xtqwdhxkhw/edit?usp=sharing"",""สระบุรี!I421"")"),0)</f>
        <v>0</v>
      </c>
      <c r="J526" s="284">
        <f ca="1">IFERROR(__xludf.DUMMYFUNCTION("IMPORTRANGE(""https://docs.google.com/spreadsheets/d/1SX6NBoVAgQJ6U1MVXOaj8PK2l7WJ3RER9xtqwdhxkhw/edit?usp=sharing"",""สระบุรี!J421"")"),0)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IFERROR(__xludf.DUMMYFUNCTION("IMPORTRANGE(""https://docs.google.com/spreadsheets/d/1SX6NBoVAgQJ6U1MVXOaj8PK2l7WJ3RER9xtqwdhxkhw/edit?usp=sharing"",""สระบุรี!I422"")"),0)</f>
        <v>0</v>
      </c>
      <c r="J527" s="199">
        <f ca="1">IFERROR(__xludf.DUMMYFUNCTION("IMPORTRANGE(""https://docs.google.com/spreadsheets/d/1SX6NBoVAgQJ6U1MVXOaj8PK2l7WJ3RER9xtqwdhxkhw/edit?usp=sharing"",""สระบุรี!J422"")"),0)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IFERROR(__xludf.DUMMYFUNCTION("IMPORTRANGE(""https://docs.google.com/spreadsheets/d/1SX6NBoVAgQJ6U1MVXOaj8PK2l7WJ3RER9xtqwdhxkhw/edit?usp=sharing"",""สระบุรี!I423"")"),0)</f>
        <v>0</v>
      </c>
      <c r="J528" s="199">
        <f ca="1">IFERROR(__xludf.DUMMYFUNCTION("IMPORTRANGE(""https://docs.google.com/spreadsheets/d/1SX6NBoVAgQJ6U1MVXOaj8PK2l7WJ3RER9xtqwdhxkhw/edit?usp=sharing"",""สระบุรี!J423"")"),0)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IFERROR(__xludf.DUMMYFUNCTION("IMPORTRANGE(""https://docs.google.com/spreadsheets/d/1SX6NBoVAgQJ6U1MVXOaj8PK2l7WJ3RER9xtqwdhxkhw/edit?usp=sharing"",""สระบุรี!I424"")"),0)</f>
        <v>0</v>
      </c>
      <c r="J529" s="199">
        <f ca="1">IFERROR(__xludf.DUMMYFUNCTION("IMPORTRANGE(""https://docs.google.com/spreadsheets/d/1SX6NBoVAgQJ6U1MVXOaj8PK2l7WJ3RER9xtqwdhxkhw/edit?usp=sharing"",""สระบุรี!J424"")"),0)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IFERROR(__xludf.DUMMYFUNCTION("IMPORTRANGE(""https://docs.google.com/spreadsheets/d/1SX6NBoVAgQJ6U1MVXOaj8PK2l7WJ3RER9xtqwdhxkhw/edit?usp=sharing"",""สระบุรี!I425"")"),0)</f>
        <v>0</v>
      </c>
      <c r="J530" s="199">
        <f ca="1">IFERROR(__xludf.DUMMYFUNCTION("IMPORTRANGE(""https://docs.google.com/spreadsheets/d/1SX6NBoVAgQJ6U1MVXOaj8PK2l7WJ3RER9xtqwdhxkhw/edit?usp=sharing"",""สระบุรี!J425"")"),0)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IFERROR(__xludf.DUMMYFUNCTION("IMPORTRANGE(""https://docs.google.com/spreadsheets/d/1SX6NBoVAgQJ6U1MVXOaj8PK2l7WJ3RER9xtqwdhxkhw/edit?usp=sharing"",""สระบุรี!I426"")"),0)</f>
        <v>0</v>
      </c>
      <c r="J531" s="199">
        <f ca="1">IFERROR(__xludf.DUMMYFUNCTION("IMPORTRANGE(""https://docs.google.com/spreadsheets/d/1SX6NBoVAgQJ6U1MVXOaj8PK2l7WJ3RER9xtqwdhxkhw/edit?usp=sharing"",""สระบุรี!J426"")"),0)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IFERROR(__xludf.DUMMYFUNCTION("IMPORTRANGE(""https://docs.google.com/spreadsheets/d/1SX6NBoVAgQJ6U1MVXOaj8PK2l7WJ3RER9xtqwdhxkhw/edit?usp=sharing"",""สระบุรี!M428"")"),19810)</f>
        <v>19810</v>
      </c>
      <c r="O533" s="412">
        <f t="shared" ref="O533:O537" ca="1" si="118">+IF(L533&gt;0,N533*100/L533,0)</f>
        <v>56.294401818698496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IFERROR(__xludf.DUMMYFUNCTION("IMPORTRANGE(""https://docs.google.com/spreadsheets/d/1SX6NBoVAgQJ6U1MVXOaj8PK2l7WJ3RER9xtqwdhxkhw/edit?usp=sharing"",""สระบุรี!L429"")"),0)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IFERROR(__xludf.DUMMYFUNCTION("IMPORTRANGE(""https://docs.google.com/spreadsheets/d/1SX6NBoVAgQJ6U1MVXOaj8PK2l7WJ3RER9xtqwdhxkhw/edit?usp=sharing"",""สระบุรี!M429"")"),0)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IFERROR(__xludf.DUMMYFUNCTION("IMPORTRANGE(""https://docs.google.com/spreadsheets/d/1SX6NBoVAgQJ6U1MVXOaj8PK2l7WJ3RER9xtqwdhxkhw/edit?usp=sharing"",""สระบุรี!L430"")"),35190)</f>
        <v>35190</v>
      </c>
      <c r="M535" s="167"/>
      <c r="N535" s="170">
        <f ca="1">IFERROR(__xludf.DUMMYFUNCTION("IMPORTRANGE(""https://docs.google.com/spreadsheets/d/1SX6NBoVAgQJ6U1MVXOaj8PK2l7WJ3RER9xtqwdhxkhw/edit?usp=sharing"",""สระบุรี!M430"")"),19810)</f>
        <v>19810</v>
      </c>
      <c r="O535" s="170">
        <f t="shared" ca="1" si="118"/>
        <v>56.294401818698496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IFERROR(__xludf.DUMMYFUNCTION("IMPORTRANGE(""https://docs.google.com/spreadsheets/d/1SX6NBoVAgQJ6U1MVXOaj8PK2l7WJ3RER9xtqwdhxkhw/edit?usp=sharing"",""สระบุรี!L431"")"),0)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IFERROR(__xludf.DUMMYFUNCTION("IMPORTRANGE(""https://docs.google.com/spreadsheets/d/1SX6NBoVAgQJ6U1MVXOaj8PK2l7WJ3RER9xtqwdhxkhw/edit?usp=sharing"",""สระบุรี!M431"")"),0)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IFERROR(__xludf.DUMMYFUNCTION("IMPORTRANGE(""https://docs.google.com/spreadsheets/d/1SX6NBoVAgQJ6U1MVXOaj8PK2l7WJ3RER9xtqwdhxkhw/edit?usp=sharing"",""สระบุรี!L432"")"),35190)</f>
        <v>35190</v>
      </c>
      <c r="M537" s="170"/>
      <c r="N537" s="170">
        <f ca="1">IFERROR(__xludf.DUMMYFUNCTION("IMPORTRANGE(""https://docs.google.com/spreadsheets/d/1SX6NBoVAgQJ6U1MVXOaj8PK2l7WJ3RER9xtqwdhxkhw/edit?usp=sharing"",""สระบุรี!M432"")"),19810)</f>
        <v>19810</v>
      </c>
      <c r="O537" s="170">
        <f t="shared" ca="1" si="118"/>
        <v>56.294401818698496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IFERROR(__xludf.DUMMYFUNCTION("IMPORTRANGE(""https://docs.google.com/spreadsheets/d/1SX6NBoVAgQJ6U1MVXOaj8PK2l7WJ3RER9xtqwdhxkhw/edit?usp=sharing"",""สระบุรี!M433"")"),0)</f>
        <v>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IFERROR(__xludf.DUMMYFUNCTION("IMPORTRANGE(""https://docs.google.com/spreadsheets/d/1SX6NBoVAgQJ6U1MVXOaj8PK2l7WJ3RER9xtqwdhxkhw/edit?usp=sharing"",""สระบุรี!M436"")"),19810)</f>
        <v>19810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IFERROR(__xludf.DUMMYFUNCTION("IMPORTRANGE(""https://docs.google.com/spreadsheets/d/1SX6NBoVAgQJ6U1MVXOaj8PK2l7WJ3RER9xtqwdhxkhw/edit?usp=sharing"",""สระบุรี!J438"")"),0)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IFERROR(__xludf.DUMMYFUNCTION("IMPORTRANGE(""https://docs.google.com/spreadsheets/d/1SX6NBoVAgQJ6U1MVXOaj8PK2l7WJ3RER9xtqwdhxkhw/edit?usp=sharing"",""สระบุรี!J439"")"),1)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IFERROR(__xludf.DUMMYFUNCTION("IMPORTRANGE(""https://docs.google.com/spreadsheets/d/1SX6NBoVAgQJ6U1MVXOaj8PK2l7WJ3RER9xtqwdhxkhw/edit?usp=sharing"",""สระบุรี!J440"")"),1)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IFERROR(__xludf.DUMMYFUNCTION("IMPORTRANGE(""https://docs.google.com/spreadsheets/d/1SX6NBoVAgQJ6U1MVXOaj8PK2l7WJ3RER9xtqwdhxkhw/edit?usp=sharing"",""สระบุรี!J441"")"),1)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IFERROR(__xludf.DUMMYFUNCTION("IMPORTRANGE(""https://docs.google.com/spreadsheets/d/1SX6NBoVAgQJ6U1MVXOaj8PK2l7WJ3RER9xtqwdhxkhw/edit?usp=sharing"",""สระบุรี!I442"")"),23)</f>
        <v>23</v>
      </c>
      <c r="J547" s="190">
        <f ca="1">IFERROR(__xludf.DUMMYFUNCTION("IMPORTRANGE(""https://docs.google.com/spreadsheets/d/1SX6NBoVAgQJ6U1MVXOaj8PK2l7WJ3RER9xtqwdhxkhw/edit?usp=sharing"",""สระบุรี!J442"")"),23)</f>
        <v>23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IFERROR(__xludf.DUMMYFUNCTION("IMPORTRANGE(""https://docs.google.com/spreadsheets/d/1SX6NBoVAgQJ6U1MVXOaj8PK2l7WJ3RER9xtqwdhxkhw/edit?usp=sharing"",""สระบุรี!J166"")"),0)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IFERROR(__xludf.DUMMYFUNCTION("IMPORTRANGE(""https://docs.google.com/spreadsheets/d/1SX6NBoVAgQJ6U1MVXOaj8PK2l7WJ3RER9xtqwdhxkhw/edit?usp=sharing"",""สระบุรี!J444"")"),0)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IFERROR(__xludf.DUMMYFUNCTION("IMPORTRANGE(""https://docs.google.com/spreadsheets/d/1SX6NBoVAgQJ6U1MVXOaj8PK2l7WJ3RER9xtqwdhxkhw/edit?usp=sharing"",""สระบุรี!L447"")"),0)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IFERROR(__xludf.DUMMYFUNCTION("IMPORTRANGE(""https://docs.google.com/spreadsheets/d/1SX6NBoVAgQJ6U1MVXOaj8PK2l7WJ3RER9xtqwdhxkhw/edit?usp=sharing"",""สระบุรี!M447"")"),0)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IFERROR(__xludf.DUMMYFUNCTION("IMPORTRANGE(""https://docs.google.com/spreadsheets/d/1SX6NBoVAgQJ6U1MVXOaj8PK2l7WJ3RER9xtqwdhxkhw/edit?usp=sharing"",""สระบุรี!L448"")"),0)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IFERROR(__xludf.DUMMYFUNCTION("IMPORTRANGE(""https://docs.google.com/spreadsheets/d/1SX6NBoVAgQJ6U1MVXOaj8PK2l7WJ3RER9xtqwdhxkhw/edit?usp=sharing"",""สระบุรี!M448"")"),0)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IFERROR(__xludf.DUMMYFUNCTION("IMPORTRANGE(""https://docs.google.com/spreadsheets/d/1SX6NBoVAgQJ6U1MVXOaj8PK2l7WJ3RER9xtqwdhxkhw/edit?usp=sharing"",""สระบุรี!L449"")"),0)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IFERROR(__xludf.DUMMYFUNCTION("IMPORTRANGE(""https://docs.google.com/spreadsheets/d/1SX6NBoVAgQJ6U1MVXOaj8PK2l7WJ3RER9xtqwdhxkhw/edit?usp=sharing"",""สระบุรี!M449"")"),0)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IFERROR(__xludf.DUMMYFUNCTION("IMPORTRANGE(""https://docs.google.com/spreadsheets/d/1SX6NBoVAgQJ6U1MVXOaj8PK2l7WJ3RER9xtqwdhxkhw/edit?usp=sharing"",""สระบุรี!L450"")"),0)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IFERROR(__xludf.DUMMYFUNCTION("IMPORTRANGE(""https://docs.google.com/spreadsheets/d/1SX6NBoVAgQJ6U1MVXOaj8PK2l7WJ3RER9xtqwdhxkhw/edit?usp=sharing"",""สระบุรี!M450"")"),0)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IFERROR(__xludf.DUMMYFUNCTION("IMPORTRANGE(""https://docs.google.com/spreadsheets/d/1SX6NBoVAgQJ6U1MVXOaj8PK2l7WJ3RER9xtqwdhxkhw/edit?usp=sharing"",""สระบุรี!M451"")"),0)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IFERROR(__xludf.DUMMYFUNCTION("IMPORTRANGE(""https://docs.google.com/spreadsheets/d/1SX6NBoVAgQJ6U1MVXOaj8PK2l7WJ3RER9xtqwdhxkhw/edit?usp=sharing"",""สระบุรี!M452"")"),0)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IFERROR(__xludf.DUMMYFUNCTION("IMPORTRANGE(""https://docs.google.com/spreadsheets/d/1SX6NBoVAgQJ6U1MVXOaj8PK2l7WJ3RER9xtqwdhxkhw/edit?usp=sharing"",""สระบุรี!M453"")"),0)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IFERROR(__xludf.DUMMYFUNCTION("IMPORTRANGE(""https://docs.google.com/spreadsheets/d/1SX6NBoVAgQJ6U1MVXOaj8PK2l7WJ3RER9xtqwdhxkhw/edit?usp=sharing"",""สระบุรี!M454"")"),0)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IFERROR(__xludf.DUMMYFUNCTION("IMPORTRANGE(""https://docs.google.com/spreadsheets/d/1SX6NBoVAgQJ6U1MVXOaj8PK2l7WJ3RER9xtqwdhxkhw/edit?usp=sharing"",""สระบุรี!I455"")"),0)</f>
        <v>0</v>
      </c>
      <c r="J560" s="164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IFERROR(__xludf.DUMMYFUNCTION("IMPORTRANGE(""https://docs.google.com/spreadsheets/d/1SX6NBoVAgQJ6U1MVXOaj8PK2l7WJ3RER9xtqwdhxkhw/edit?usp=sharing"",""สระบุรี!I456"")"),0)</f>
        <v>0</v>
      </c>
      <c r="J561" s="205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IFERROR(__xludf.DUMMYFUNCTION("IMPORTRANGE(""https://docs.google.com/spreadsheets/d/1SX6NBoVAgQJ6U1MVXOaj8PK2l7WJ3RER9xtqwdhxkhw/edit?usp=sharing"",""สระบุรี!I457"")"),0)</f>
        <v>0</v>
      </c>
      <c r="J562" s="205" t="str">
        <f ca="1">IFERROR(__xludf.DUMMYFUNCTION("IMPORTRANGE(""https://docs.google.com/spreadsheets/d/1SX6NBoVAgQJ6U1MVXOaj8PK2l7WJ3RER9xtqwdhxkhw/edit?usp=sharing"",""สระบุรี!J457"")"),"")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IFERROR(__xludf.DUMMYFUNCTION("IMPORTRANGE(""https://docs.google.com/spreadsheets/d/1SX6NBoVAgQJ6U1MVXOaj8PK2l7WJ3RER9xtqwdhxkhw/edit?usp=sharing"",""สระบุรี!I458"")"),0)</f>
        <v>0</v>
      </c>
      <c r="J563" s="189" t="str">
        <f ca="1">IFERROR(__xludf.DUMMYFUNCTION("IMPORTRANGE(""https://docs.google.com/spreadsheets/d/1SX6NBoVAgQJ6U1MVXOaj8PK2l7WJ3RER9xtqwdhxkhw/edit?usp=sharing"",""สระบุรี!J458"")"),"")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IFERROR(__xludf.DUMMYFUNCTION("IMPORTRANGE(""https://docs.google.com/spreadsheets/d/1SX6NBoVAgQJ6U1MVXOaj8PK2l7WJ3RER9xtqwdhxkhw/edit?usp=sharing"",""สระบุรี!J459"")"),0)</f>
        <v>0</v>
      </c>
      <c r="K564" s="372">
        <f t="shared" ca="1" si="121"/>
        <v>0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IFERROR(__xludf.DUMMYFUNCTION("IMPORTRANGE(""https://docs.google.com/spreadsheets/d/1SX6NBoVAgQJ6U1MVXOaj8PK2l7WJ3RER9xtqwdhxkhw/edit?usp=sharing"",""สระบุรี!M459"")"),0)</f>
        <v>0</v>
      </c>
      <c r="O564" s="373">
        <f t="shared" ref="O564:O568" ca="1" si="122">+IF(L564&gt;0,N564*100/L564,0)</f>
        <v>0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IFERROR(__xludf.DUMMYFUNCTION("IMPORTRANGE(""https://docs.google.com/spreadsheets/d/1SX6NBoVAgQJ6U1MVXOaj8PK2l7WJ3RER9xtqwdhxkhw/edit?usp=sharing"",""สระบุรี!L460"")"),0)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IFERROR(__xludf.DUMMYFUNCTION("IMPORTRANGE(""https://docs.google.com/spreadsheets/d/1SX6NBoVAgQJ6U1MVXOaj8PK2l7WJ3RER9xtqwdhxkhw/edit?usp=sharing"",""สระบุรี!M460"")"),0)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IFERROR(__xludf.DUMMYFUNCTION("IMPORTRANGE(""https://docs.google.com/spreadsheets/d/1SX6NBoVAgQJ6U1MVXOaj8PK2l7WJ3RER9xtqwdhxkhw/edit?usp=sharing"",""สระบุรี!L461"")"),125680)</f>
        <v>125680</v>
      </c>
      <c r="M566" s="167"/>
      <c r="N566" s="170">
        <f ca="1">IFERROR(__xludf.DUMMYFUNCTION("IMPORTRANGE(""https://docs.google.com/spreadsheets/d/1SX6NBoVAgQJ6U1MVXOaj8PK2l7WJ3RER9xtqwdhxkhw/edit?usp=sharing"",""สระบุรี!M461"")"),0)</f>
        <v>0</v>
      </c>
      <c r="O566" s="170">
        <f t="shared" ca="1" si="122"/>
        <v>0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IFERROR(__xludf.DUMMYFUNCTION("IMPORTRANGE(""https://docs.google.com/spreadsheets/d/1SX6NBoVAgQJ6U1MVXOaj8PK2l7WJ3RER9xtqwdhxkhw/edit?usp=sharing"",""สระบุรี!L462"")"),0)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IFERROR(__xludf.DUMMYFUNCTION("IMPORTRANGE(""https://docs.google.com/spreadsheets/d/1SX6NBoVAgQJ6U1MVXOaj8PK2l7WJ3RER9xtqwdhxkhw/edit?usp=sharing"",""สระบุรี!M462"")"),0)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IFERROR(__xludf.DUMMYFUNCTION("IMPORTRANGE(""https://docs.google.com/spreadsheets/d/1SX6NBoVAgQJ6U1MVXOaj8PK2l7WJ3RER9xtqwdhxkhw/edit?usp=sharing"",""สระบุรี!L463"")"),125680)</f>
        <v>125680</v>
      </c>
      <c r="M568" s="170"/>
      <c r="N568" s="170">
        <f ca="1">IFERROR(__xludf.DUMMYFUNCTION("IMPORTRANGE(""https://docs.google.com/spreadsheets/d/1SX6NBoVAgQJ6U1MVXOaj8PK2l7WJ3RER9xtqwdhxkhw/edit?usp=sharing"",""สระบุรี!M463"")"),0)</f>
        <v>0</v>
      </c>
      <c r="O568" s="170">
        <f t="shared" ca="1" si="122"/>
        <v>0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IFERROR(__xludf.DUMMYFUNCTION("IMPORTRANGE(""https://docs.google.com/spreadsheets/d/1SX6NBoVAgQJ6U1MVXOaj8PK2l7WJ3RER9xtqwdhxkhw/edit?usp=sharing"",""สระบุรี!M464"")"),0)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IFERROR(__xludf.DUMMYFUNCTION("IMPORTRANGE(""https://docs.google.com/spreadsheets/d/1SX6NBoVAgQJ6U1MVXOaj8PK2l7WJ3RER9xtqwdhxkhw/edit?usp=sharing"",""สระบุรี!M465"")"),0)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IFERROR(__xludf.DUMMYFUNCTION("IMPORTRANGE(""https://docs.google.com/spreadsheets/d/1SX6NBoVAgQJ6U1MVXOaj8PK2l7WJ3RER9xtqwdhxkhw/edit?usp=sharing"",""สระบุรี!M466"")"),0)</f>
        <v>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IFERROR(__xludf.DUMMYFUNCTION("IMPORTRANGE(""https://docs.google.com/spreadsheets/d/1SX6NBoVAgQJ6U1MVXOaj8PK2l7WJ3RER9xtqwdhxkhw/edit?usp=sharing"",""สระบุรี!M467"")"),0)</f>
        <v>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IFERROR(__xludf.DUMMYFUNCTION("IMPORTRANGE(""https://docs.google.com/spreadsheets/d/1SX6NBoVAgQJ6U1MVXOaj8PK2l7WJ3RER9xtqwdhxkhw/edit?usp=sharing"",""สระบุรี!J468"")"),0)</f>
        <v>0</v>
      </c>
      <c r="K573" s="203">
        <f ca="1">IF(I573&gt;0,J573*100/I573,0)</f>
        <v>0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IFERROR(__xludf.DUMMYFUNCTION("IMPORTRANGE(""https://docs.google.com/spreadsheets/d/1SX6NBoVAgQJ6U1MVXOaj8PK2l7WJ3RER9xtqwdhxkhw/edit?usp=sharing"",""สระบุรี!I470"")"),0)</f>
        <v>0</v>
      </c>
      <c r="J575" s="199">
        <f ca="1">IFERROR(__xludf.DUMMYFUNCTION("IMPORTRANGE(""https://docs.google.com/spreadsheets/d/1SX6NBoVAgQJ6U1MVXOaj8PK2l7WJ3RER9xtqwdhxkhw/edit?usp=sharing"",""สระบุรี!J470"")"),0)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IFERROR(__xludf.DUMMYFUNCTION("IMPORTRANGE(""https://docs.google.com/spreadsheets/d/1SX6NBoVAgQJ6U1MVXOaj8PK2l7WJ3RER9xtqwdhxkhw/edit?usp=sharing"",""สระบุรี!I471"")"),0)</f>
        <v>0</v>
      </c>
      <c r="J576" s="199">
        <f ca="1">IFERROR(__xludf.DUMMYFUNCTION("IMPORTRANGE(""https://docs.google.com/spreadsheets/d/1SX6NBoVAgQJ6U1MVXOaj8PK2l7WJ3RER9xtqwdhxkhw/edit?usp=sharing"",""สระบุรี!J471"")"),0)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IFERROR(__xludf.DUMMYFUNCTION("IMPORTRANGE(""https://docs.google.com/spreadsheets/d/1SX6NBoVAgQJ6U1MVXOaj8PK2l7WJ3RER9xtqwdhxkhw/edit?usp=sharing"",""สระบุรี!I472"")"),0)</f>
        <v>0</v>
      </c>
      <c r="J577" s="190">
        <f ca="1">IFERROR(__xludf.DUMMYFUNCTION("IMPORTRANGE(""https://docs.google.com/spreadsheets/d/1SX6NBoVAgQJ6U1MVXOaj8PK2l7WJ3RER9xtqwdhxkhw/edit?usp=sharing"",""สระบุรี!J472"")"),0)</f>
        <v>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IFERROR(__xludf.DUMMYFUNCTION("IMPORTRANGE(""https://docs.google.com/spreadsheets/d/1SX6NBoVAgQJ6U1MVXOaj8PK2l7WJ3RER9xtqwdhxkhw/edit?usp=sharing"",""สระบุรี!I473"")"),0)</f>
        <v>0</v>
      </c>
      <c r="J578" s="199">
        <f ca="1">IFERROR(__xludf.DUMMYFUNCTION("IMPORTRANGE(""https://docs.google.com/spreadsheets/d/1SX6NBoVAgQJ6U1MVXOaj8PK2l7WJ3RER9xtqwdhxkhw/edit?usp=sharing"",""สระบุรี!J473"")"),0)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IFERROR(__xludf.DUMMYFUNCTION("IMPORTRANGE(""https://docs.google.com/spreadsheets/d/1SX6NBoVAgQJ6U1MVXOaj8PK2l7WJ3RER9xtqwdhxkhw/edit?usp=sharing"",""สระบุรี!I474"")"),0)</f>
        <v>0</v>
      </c>
      <c r="J579" s="199">
        <f ca="1">IFERROR(__xludf.DUMMYFUNCTION("IMPORTRANGE(""https://docs.google.com/spreadsheets/d/1SX6NBoVAgQJ6U1MVXOaj8PK2l7WJ3RER9xtqwdhxkhw/edit?usp=sharing"",""สระบุรี!J474"")"),0)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IFERROR(__xludf.DUMMYFUNCTION("IMPORTRANGE(""https://docs.google.com/spreadsheets/d/1SX6NBoVAgQJ6U1MVXOaj8PK2l7WJ3RER9xtqwdhxkhw/edit?usp=sharing"",""สระบุรี!I475"")"),500)</f>
        <v>500</v>
      </c>
      <c r="J580" s="371">
        <f ca="1">IFERROR(__xludf.DUMMYFUNCTION("IMPORTRANGE(""https://docs.google.com/spreadsheets/d/1SX6NBoVAgQJ6U1MVXOaj8PK2l7WJ3RER9xtqwdhxkhw/edit?usp=sharing"",""สระบุรี!J475"")"),0)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IFERROR(__xludf.DUMMYFUNCTION("IMPORTRANGE(""https://docs.google.com/spreadsheets/d/1SX6NBoVAgQJ6U1MVXOaj8PK2l7WJ3RER9xtqwdhxkhw/edit?usp=sharing"",""สระบุรี!L476"")"),0)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IFERROR(__xludf.DUMMYFUNCTION("IMPORTRANGE(""https://docs.google.com/spreadsheets/d/1SX6NBoVAgQJ6U1MVXOaj8PK2l7WJ3RER9xtqwdhxkhw/edit?usp=sharing"",""สระบุรี!M476"")"),0)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IFERROR(__xludf.DUMMYFUNCTION("IMPORTRANGE(""https://docs.google.com/spreadsheets/d/1SX6NBoVAgQJ6U1MVXOaj8PK2l7WJ3RER9xtqwdhxkhw/edit?usp=sharing"",""สระบุรี!L477"")"),377750)</f>
        <v>377750</v>
      </c>
      <c r="M582" s="167"/>
      <c r="N582" s="170">
        <f ca="1">IFERROR(__xludf.DUMMYFUNCTION("IMPORTRANGE(""https://docs.google.com/spreadsheets/d/1SX6NBoVAgQJ6U1MVXOaj8PK2l7WJ3RER9xtqwdhxkhw/edit?usp=sharing"",""สระบุรี!M477"")"),0)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IFERROR(__xludf.DUMMYFUNCTION("IMPORTRANGE(""https://docs.google.com/spreadsheets/d/1SX6NBoVAgQJ6U1MVXOaj8PK2l7WJ3RER9xtqwdhxkhw/edit?usp=sharing"",""สระบุรี!L478"")"),0)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IFERROR(__xludf.DUMMYFUNCTION("IMPORTRANGE(""https://docs.google.com/spreadsheets/d/1SX6NBoVAgQJ6U1MVXOaj8PK2l7WJ3RER9xtqwdhxkhw/edit?usp=sharing"",""สระบุรี!M478"")"),0)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IFERROR(__xludf.DUMMYFUNCTION("IMPORTRANGE(""https://docs.google.com/spreadsheets/d/1SX6NBoVAgQJ6U1MVXOaj8PK2l7WJ3RER9xtqwdhxkhw/edit?usp=sharing"",""สระบุรี!L479"")"),377750)</f>
        <v>377750</v>
      </c>
      <c r="M584" s="170"/>
      <c r="N584" s="170">
        <f ca="1">IFERROR(__xludf.DUMMYFUNCTION("IMPORTRANGE(""https://docs.google.com/spreadsheets/d/1SX6NBoVAgQJ6U1MVXOaj8PK2l7WJ3RER9xtqwdhxkhw/edit?usp=sharing"",""สระบุรี!M479"")"),0)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IFERROR(__xludf.DUMMYFUNCTION("IMPORTRANGE(""https://docs.google.com/spreadsheets/d/1SX6NBoVAgQJ6U1MVXOaj8PK2l7WJ3RER9xtqwdhxkhw/edit?usp=sharing"",""สระบุรี!M480"")"),0)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IFERROR(__xludf.DUMMYFUNCTION("IMPORTRANGE(""https://docs.google.com/spreadsheets/d/1SX6NBoVAgQJ6U1MVXOaj8PK2l7WJ3RER9xtqwdhxkhw/edit?usp=sharing"",""สระบุรี!M481"")"),0)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IFERROR(__xludf.DUMMYFUNCTION("IMPORTRANGE(""https://docs.google.com/spreadsheets/d/1SX6NBoVAgQJ6U1MVXOaj8PK2l7WJ3RER9xtqwdhxkhw/edit?usp=sharing"",""สระบุรี!M482"")"),0)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IFERROR(__xludf.DUMMYFUNCTION("IMPORTRANGE(""https://docs.google.com/spreadsheets/d/1SX6NBoVAgQJ6U1MVXOaj8PK2l7WJ3RER9xtqwdhxkhw/edit?usp=sharing"",""สระบุรี!M483"")"),0)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IFERROR(__xludf.DUMMYFUNCTION("IMPORTRANGE(""https://docs.google.com/spreadsheets/d/1SX6NBoVAgQJ6U1MVXOaj8PK2l7WJ3RER9xtqwdhxkhw/edit?usp=sharing"",""สระบุรี!I484"")"),500)</f>
        <v>500</v>
      </c>
      <c r="J589" s="189">
        <f ca="1">IFERROR(__xludf.DUMMYFUNCTION("IMPORTRANGE(""https://docs.google.com/spreadsheets/d/1SX6NBoVAgQJ6U1MVXOaj8PK2l7WJ3RER9xtqwdhxkhw/edit?usp=sharing"",""สระบุรี!J484"")"),26)</f>
        <v>26</v>
      </c>
      <c r="K589" s="165">
        <f t="shared" ref="K589:K596" ca="1" si="125">IF(I589&gt;0,J589*100/I589,0)</f>
        <v>5.2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9">
        <f ca="1">IFERROR(__xludf.DUMMYFUNCTION("IMPORTRANGE(""https://docs.google.com/spreadsheets/d/1SX6NBoVAgQJ6U1MVXOaj8PK2l7WJ3RER9xtqwdhxkhw/edit?usp=sharing"",""สระบุรี!J485"")"),34.53)</f>
        <v>34.53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IFERROR(__xludf.DUMMYFUNCTION("IMPORTRANGE(""https://docs.google.com/spreadsheets/d/1SX6NBoVAgQJ6U1MVXOaj8PK2l7WJ3RER9xtqwdhxkhw/edit?usp=sharing"",""สระบุรี!I486"")"),500)</f>
        <v>500</v>
      </c>
      <c r="J591" s="189">
        <f ca="1">IFERROR(__xludf.DUMMYFUNCTION("IMPORTRANGE(""https://docs.google.com/spreadsheets/d/1SX6NBoVAgQJ6U1MVXOaj8PK2l7WJ3RER9xtqwdhxkhw/edit?usp=sharing"",""สระบุรี!J486"")"),0)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9">
        <f ca="1">IFERROR(__xludf.DUMMYFUNCTION("IMPORTRANGE(""https://docs.google.com/spreadsheets/d/1SX6NBoVAgQJ6U1MVXOaj8PK2l7WJ3RER9xtqwdhxkhw/edit?usp=sharing"",""สระบุรี!J487"")"),0)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IFERROR(__xludf.DUMMYFUNCTION("IMPORTRANGE(""https://docs.google.com/spreadsheets/d/1SX6NBoVAgQJ6U1MVXOaj8PK2l7WJ3RER9xtqwdhxkhw/edit?usp=sharing"",""สระบุรี!I488"")"),500)</f>
        <v>500</v>
      </c>
      <c r="J593" s="189">
        <f ca="1">IFERROR(__xludf.DUMMYFUNCTION("IMPORTRANGE(""https://docs.google.com/spreadsheets/d/1SX6NBoVAgQJ6U1MVXOaj8PK2l7WJ3RER9xtqwdhxkhw/edit?usp=sharing"",""สระบุรี!J488"")"),0)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9">
        <f ca="1">IFERROR(__xludf.DUMMYFUNCTION("IMPORTRANGE(""https://docs.google.com/spreadsheets/d/1SX6NBoVAgQJ6U1MVXOaj8PK2l7WJ3RER9xtqwdhxkhw/edit?usp=sharing"",""สระบุรี!J489"")"),0)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IFERROR(__xludf.DUMMYFUNCTION("IMPORTRANGE(""https://docs.google.com/spreadsheets/d/1SX6NBoVAgQJ6U1MVXOaj8PK2l7WJ3RER9xtqwdhxkhw/edit?usp=sharing"",""สระบุรี!I490"")"),500)</f>
        <v>500</v>
      </c>
      <c r="J595" s="189">
        <f ca="1">IFERROR(__xludf.DUMMYFUNCTION("IMPORTRANGE(""https://docs.google.com/spreadsheets/d/1SX6NBoVAgQJ6U1MVXOaj8PK2l7WJ3RER9xtqwdhxkhw/edit?usp=sharing"",""สระบุรี!J490"")"),0)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7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IFERROR(__xludf.DUMMYFUNCTION("IMPORTRANGE(""https://docs.google.com/spreadsheets/d/1SX6NBoVAgQJ6U1MVXOaj8PK2l7WJ3RER9xtqwdhxkhw/edit?usp=sharing"",""สระบุรี!L493"")"),0)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IFERROR(__xludf.DUMMYFUNCTION("IMPORTRANGE(""https://docs.google.com/spreadsheets/d/1SX6NBoVAgQJ6U1MVXOaj8PK2l7WJ3RER9xtqwdhxkhw/edit?usp=sharing"",""สระบุรี!M493"")"),0)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IFERROR(__xludf.DUMMYFUNCTION("IMPORTRANGE(""https://docs.google.com/spreadsheets/d/1SX6NBoVAgQJ6U1MVXOaj8PK2l7WJ3RER9xtqwdhxkhw/edit?usp=sharing"",""สระบุรี!L494"")"),4550)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IFERROR(__xludf.DUMMYFUNCTION("IMPORTRANGE(""https://docs.google.com/spreadsheets/d/1SX6NBoVAgQJ6U1MVXOaj8PK2l7WJ3RER9xtqwdhxkhw/edit?usp=sharing"",""สระบุรี!M494"")"),0)</f>
        <v>0</v>
      </c>
      <c r="O599" s="170">
        <f t="shared" ca="1" si="126"/>
        <v>0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IFERROR(__xludf.DUMMYFUNCTION("IMPORTRANGE(""https://docs.google.com/spreadsheets/d/1SX6NBoVAgQJ6U1MVXOaj8PK2l7WJ3RER9xtqwdhxkhw/edit?usp=sharing"",""สระบุรี!L495"")"),0)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IFERROR(__xludf.DUMMYFUNCTION("IMPORTRANGE(""https://docs.google.com/spreadsheets/d/1SX6NBoVAgQJ6U1MVXOaj8PK2l7WJ3RER9xtqwdhxkhw/edit?usp=sharing"",""สระบุรี!M495"")"),0)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IFERROR(__xludf.DUMMYFUNCTION("IMPORTRANGE(""https://docs.google.com/spreadsheets/d/1SX6NBoVAgQJ6U1MVXOaj8PK2l7WJ3RER9xtqwdhxkhw/edit?usp=sharing"",""สระบุรี!L496"")"),4550)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IFERROR(__xludf.DUMMYFUNCTION("IMPORTRANGE(""https://docs.google.com/spreadsheets/d/1SX6NBoVAgQJ6U1MVXOaj8PK2l7WJ3RER9xtqwdhxkhw/edit?usp=sharing"",""สระบุรี!M496"")"),0)</f>
        <v>0</v>
      </c>
      <c r="O601" s="170">
        <f t="shared" ca="1" si="126"/>
        <v>0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IFERROR(__xludf.DUMMYFUNCTION("IMPORTRANGE(""https://docs.google.com/spreadsheets/d/1SX6NBoVAgQJ6U1MVXOaj8PK2l7WJ3RER9xtqwdhxkhw/edit?usp=sharing"",""สระบุรี!M497"")"),0)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IFERROR(__xludf.DUMMYFUNCTION("IMPORTRANGE(""https://docs.google.com/spreadsheets/d/1SX6NBoVAgQJ6U1MVXOaj8PK2l7WJ3RER9xtqwdhxkhw/edit?usp=sharing"",""สระบุรี!M498"")"),0)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IFERROR(__xludf.DUMMYFUNCTION("IMPORTRANGE(""https://docs.google.com/spreadsheets/d/1SX6NBoVAgQJ6U1MVXOaj8PK2l7WJ3RER9xtqwdhxkhw/edit?usp=sharing"",""สระบุรี!M500"")"),0)</f>
        <v>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IFERROR(__xludf.DUMMYFUNCTION("IMPORTRANGE(""https://docs.google.com/spreadsheets/d/1SX6NBoVAgQJ6U1MVXOaj8PK2l7WJ3RER9xtqwdhxkhw/edit?usp=sharing"",""สระบุรี!J502"")"),0)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IFERROR(__xludf.DUMMYFUNCTION("IMPORTRANGE(""https://docs.google.com/spreadsheets/d/1SX6NBoVAgQJ6U1MVXOaj8PK2l7WJ3RER9xtqwdhxkhw/edit?usp=sharing"",""สระบุรี!J503"")"),0)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IFERROR(__xludf.DUMMYFUNCTION("IMPORTRANGE(""https://docs.google.com/spreadsheets/d/1SX6NBoVAgQJ6U1MVXOaj8PK2l7WJ3RER9xtqwdhxkhw/edit?usp=sharing"",""สระบุรี!J166"")"),0)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IFERROR(__xludf.DUMMYFUNCTION("IMPORTRANGE(""https://docs.google.com/spreadsheets/d/1SX6NBoVAgQJ6U1MVXOaj8PK2l7WJ3RER9xtqwdhxkhw/edit?usp=sharing"",""สระบุรี!J166"")"),0)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IFERROR(__xludf.DUMMYFUNCTION("IMPORTRANGE(""https://docs.google.com/spreadsheets/d/1SX6NBoVAgQJ6U1MVXOaj8PK2l7WJ3RER9xtqwdhxkhw/edit?usp=sharing"",""สระบุรี!I506"")"),50)</f>
        <v>50</v>
      </c>
      <c r="J611" s="164">
        <f ca="1">IFERROR(__xludf.DUMMYFUNCTION("IMPORTRANGE(""https://docs.google.com/spreadsheets/d/1SX6NBoVAgQJ6U1MVXOaj8PK2l7WJ3RER9xtqwdhxkhw/edit?usp=sharing"",""สระบุรี!J506"")"),0)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IFERROR(__xludf.DUMMYFUNCTION("IMPORTRANGE(""https://docs.google.com/spreadsheets/d/1SX6NBoVAgQJ6U1MVXOaj8PK2l7WJ3RER9xtqwdhxkhw/edit?usp=sharing"",""สระบุรี!I507"")"),0)</f>
        <v>0</v>
      </c>
      <c r="J612" s="199">
        <f ca="1">IFERROR(__xludf.DUMMYFUNCTION("IMPORTRANGE(""https://docs.google.com/spreadsheets/d/1SX6NBoVAgQJ6U1MVXOaj8PK2l7WJ3RER9xtqwdhxkhw/edit?usp=sharing"",""สระบุรี!J507"")"),0)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IFERROR(__xludf.DUMMYFUNCTION("IMPORTRANGE(""https://docs.google.com/spreadsheets/d/1SX6NBoVAgQJ6U1MVXOaj8PK2l7WJ3RER9xtqwdhxkhw/edit?usp=sharing"",""สระบุรี!I508"")"),0)</f>
        <v>0</v>
      </c>
      <c r="J613" s="199">
        <f ca="1">IFERROR(__xludf.DUMMYFUNCTION("IMPORTRANGE(""https://docs.google.com/spreadsheets/d/1SX6NBoVAgQJ6U1MVXOaj8PK2l7WJ3RER9xtqwdhxkhw/edit?usp=sharing"",""สระบุรี!J508"")"),0)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IFERROR(__xludf.DUMMYFUNCTION("IMPORTRANGE(""https://docs.google.com/spreadsheets/d/1SX6NBoVAgQJ6U1MVXOaj8PK2l7WJ3RER9xtqwdhxkhw/edit?usp=sharing"",""สระบุรี!I509"")"),0)</f>
        <v>0</v>
      </c>
      <c r="J614" s="199">
        <f ca="1">IFERROR(__xludf.DUMMYFUNCTION("IMPORTRANGE(""https://docs.google.com/spreadsheets/d/1SX6NBoVAgQJ6U1MVXOaj8PK2l7WJ3RER9xtqwdhxkhw/edit?usp=sharing"",""สระบุรี!J509"")"),0)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IFERROR(__xludf.DUMMYFUNCTION("IMPORTRANGE(""https://docs.google.com/spreadsheets/d/1SX6NBoVAgQJ6U1MVXOaj8PK2l7WJ3RER9xtqwdhxkhw/edit?usp=sharing"",""สระบุรี!I510"")"),0)</f>
        <v>0</v>
      </c>
      <c r="J615" s="199">
        <f ca="1">IFERROR(__xludf.DUMMYFUNCTION("IMPORTRANGE(""https://docs.google.com/spreadsheets/d/1SX6NBoVAgQJ6U1MVXOaj8PK2l7WJ3RER9xtqwdhxkhw/edit?usp=sharing"",""สระบุรี!J510"")"),0)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IFERROR(__xludf.DUMMYFUNCTION("IMPORTRANGE(""https://docs.google.com/spreadsheets/d/1SX6NBoVAgQJ6U1MVXOaj8PK2l7WJ3RER9xtqwdhxkhw/edit?usp=sharing"",""สระบุรี!I511"")"),0)</f>
        <v>0</v>
      </c>
      <c r="J616" s="199">
        <f ca="1">IFERROR(__xludf.DUMMYFUNCTION("IMPORTRANGE(""https://docs.google.com/spreadsheets/d/1SX6NBoVAgQJ6U1MVXOaj8PK2l7WJ3RER9xtqwdhxkhw/edit?usp=sharing"",""สระบุรี!J511"")"),0)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IFERROR(__xludf.DUMMYFUNCTION("IMPORTRANGE(""https://docs.google.com/spreadsheets/d/1SX6NBoVAgQJ6U1MVXOaj8PK2l7WJ3RER9xtqwdhxkhw/edit?usp=sharing"",""สระบุรี!I512"")"),0)</f>
        <v>0</v>
      </c>
      <c r="J617" s="189">
        <f ca="1">IFERROR(__xludf.DUMMYFUNCTION("IMPORTRANGE(""https://docs.google.com/spreadsheets/d/1SX6NBoVAgQJ6U1MVXOaj8PK2l7WJ3RER9xtqwdhxkhw/edit?usp=sharing"",""สระบุรี!J512"")"),0)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IFERROR(__xludf.DUMMYFUNCTION("IMPORTRANGE(""https://docs.google.com/spreadsheets/d/1SX6NBoVAgQJ6U1MVXOaj8PK2l7WJ3RER9xtqwdhxkhw/edit?usp=sharing"",""สระบุรี!I513"")"),0)</f>
        <v>0</v>
      </c>
      <c r="J618" s="190">
        <f ca="1">IFERROR(__xludf.DUMMYFUNCTION("IMPORTRANGE(""https://docs.google.com/spreadsheets/d/1SX6NBoVAgQJ6U1MVXOaj8PK2l7WJ3RER9xtqwdhxkhw/edit?usp=sharing"",""สระบุรี!J513"")"),0)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IFERROR(__xludf.DUMMYFUNCTION("IMPORTRANGE(""https://docs.google.com/spreadsheets/d/1SX6NBoVAgQJ6U1MVXOaj8PK2l7WJ3RER9xtqwdhxkhw/edit?usp=sharing"",""สระบุรี!I514"")"),0)</f>
        <v>0</v>
      </c>
      <c r="J619" s="190">
        <f ca="1">IFERROR(__xludf.DUMMYFUNCTION("IMPORTRANGE(""https://docs.google.com/spreadsheets/d/1SX6NBoVAgQJ6U1MVXOaj8PK2l7WJ3RER9xtqwdhxkhw/edit?usp=sharing"",""สระบุรี!J514"")"),0)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IFERROR(__xludf.DUMMYFUNCTION("IMPORTRANGE(""https://docs.google.com/spreadsheets/d/1SX6NBoVAgQJ6U1MVXOaj8PK2l7WJ3RER9xtqwdhxkhw/edit?usp=sharing"",""สระบุรี!I515"")"),0)</f>
        <v>0</v>
      </c>
      <c r="J620" s="204">
        <f ca="1">IFERROR(__xludf.DUMMYFUNCTION("IMPORTRANGE(""https://docs.google.com/spreadsheets/d/1SX6NBoVAgQJ6U1MVXOaj8PK2l7WJ3RER9xtqwdhxkhw/edit?usp=sharing"",""สระบุรี!J515"")"),0)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IFERROR(__xludf.DUMMYFUNCTION("IMPORTRANGE(""https://docs.google.com/spreadsheets/d/1SX6NBoVAgQJ6U1MVXOaj8PK2l7WJ3RER9xtqwdhxkhw/edit?usp=sharing"",""สระบุรี!I516"")"),0)</f>
        <v>0</v>
      </c>
      <c r="J621" s="204">
        <f ca="1">IFERROR(__xludf.DUMMYFUNCTION("IMPORTRANGE(""https://docs.google.com/spreadsheets/d/1SX6NBoVAgQJ6U1MVXOaj8PK2l7WJ3RER9xtqwdhxkhw/edit?usp=sharing"",""สระบุรี!J516"")"),0)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IFERROR(__xludf.DUMMYFUNCTION("IMPORTRANGE(""https://docs.google.com/spreadsheets/d/1SX6NBoVAgQJ6U1MVXOaj8PK2l7WJ3RER9xtqwdhxkhw/edit?usp=sharing"",""สระบุรี!I517"")"),0)</f>
        <v>0</v>
      </c>
      <c r="J622" s="190">
        <f ca="1">IFERROR(__xludf.DUMMYFUNCTION("IMPORTRANGE(""https://docs.google.com/spreadsheets/d/1SX6NBoVAgQJ6U1MVXOaj8PK2l7WJ3RER9xtqwdhxkhw/edit?usp=sharing"",""สระบุรี!J517"")"),0)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IFERROR(__xludf.DUMMYFUNCTION("IMPORTRANGE(""https://docs.google.com/spreadsheets/d/1SX6NBoVAgQJ6U1MVXOaj8PK2l7WJ3RER9xtqwdhxkhw/edit?usp=sharing"",""สระบุรี!I518"")"),0)</f>
        <v>0</v>
      </c>
      <c r="J623" s="190">
        <f ca="1">IFERROR(__xludf.DUMMYFUNCTION("IMPORTRANGE(""https://docs.google.com/spreadsheets/d/1SX6NBoVAgQJ6U1MVXOaj8PK2l7WJ3RER9xtqwdhxkhw/edit?usp=sharing"",""สระบุรี!J518"")"),0)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IFERROR(__xludf.DUMMYFUNCTION("IMPORTRANGE(""https://docs.google.com/spreadsheets/d/1SX6NBoVAgQJ6U1MVXOaj8PK2l7WJ3RER9xtqwdhxkhw/edit?usp=sharing"",""สระบุรี!I519"")"),0)</f>
        <v>0</v>
      </c>
      <c r="J624" s="189">
        <f ca="1">IFERROR(__xludf.DUMMYFUNCTION("IMPORTRANGE(""https://docs.google.com/spreadsheets/d/1SX6NBoVAgQJ6U1MVXOaj8PK2l7WJ3RER9xtqwdhxkhw/edit?usp=sharing"",""สระบุรี!J519"")"),0)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IFERROR(__xludf.DUMMYFUNCTION("IMPORTRANGE(""https://docs.google.com/spreadsheets/d/1SX6NBoVAgQJ6U1MVXOaj8PK2l7WJ3RER9xtqwdhxkhw/edit?usp=sharing"",""สระบุรี!I520"")"),0)</f>
        <v>0</v>
      </c>
      <c r="J625" s="190">
        <f ca="1">IFERROR(__xludf.DUMMYFUNCTION("IMPORTRANGE(""https://docs.google.com/spreadsheets/d/1SX6NBoVAgQJ6U1MVXOaj8PK2l7WJ3RER9xtqwdhxkhw/edit?usp=sharing"",""สระบุรี!J520"")"),0)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IFERROR(__xludf.DUMMYFUNCTION("IMPORTRANGE(""https://docs.google.com/spreadsheets/d/1SX6NBoVAgQJ6U1MVXOaj8PK2l7WJ3RER9xtqwdhxkhw/edit?usp=sharing"",""สระบุรี!I521"")"),0)</f>
        <v>0</v>
      </c>
      <c r="J626" s="190">
        <f ca="1">IFERROR(__xludf.DUMMYFUNCTION("IMPORTRANGE(""https://docs.google.com/spreadsheets/d/1SX6NBoVAgQJ6U1MVXOaj8PK2l7WJ3RER9xtqwdhxkhw/edit?usp=sharing"",""สระบุรี!J521"")"),0)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1">
        <f ca="1">IFERROR(__xludf.DUMMYFUNCTION("IMPORTRANGE(""https://docs.google.com/spreadsheets/d/1SX6NBoVAgQJ6U1MVXOaj8PK2l7WJ3RER9xtqwdhxkhw/edit?usp=sharing"",""สระบุรี!J523"")"),462546.74)</f>
        <v>462546.74</v>
      </c>
      <c r="K628" s="342">
        <f t="shared" ref="K628:K635" ca="1" si="129">IF(I628&gt;0,J628*100/I628,0)</f>
        <v>18.889566235451579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IFERROR(__xludf.DUMMYFUNCTION("IMPORTRANGE(""https://docs.google.com/spreadsheets/d/1SX6NBoVAgQJ6U1MVXOaj8PK2l7WJ3RER9xtqwdhxkhw/edit?usp=sharing"",""สระบุรี!I524"")"),168)</f>
        <v>168</v>
      </c>
      <c r="J629" s="341">
        <f ca="1">IFERROR(__xludf.DUMMYFUNCTION("IMPORTRANGE(""https://docs.google.com/spreadsheets/d/1SX6NBoVAgQJ6U1MVXOaj8PK2l7WJ3RER9xtqwdhxkhw/edit?usp=sharing"",""สระบุรี!J524"")"),46)</f>
        <v>46</v>
      </c>
      <c r="K629" s="342">
        <f t="shared" ca="1" si="129"/>
        <v>27.38095238095238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1">
        <f ca="1">IFERROR(__xludf.DUMMYFUNCTION("IMPORTRANGE(""https://docs.google.com/spreadsheets/d/1SX6NBoVAgQJ6U1MVXOaj8PK2l7WJ3RER9xtqwdhxkhw/edit?usp=sharing"",""สระบุรี!J525"")"),504352.75)</f>
        <v>504352.75</v>
      </c>
      <c r="K630" s="342">
        <f t="shared" ca="1" si="129"/>
        <v>2.9632895903371752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IFERROR(__xludf.DUMMYFUNCTION("IMPORTRANGE(""https://docs.google.com/spreadsheets/d/1SX6NBoVAgQJ6U1MVXOaj8PK2l7WJ3RER9xtqwdhxkhw/edit?usp=sharing"",""สระบุรี!I526"")"),253)</f>
        <v>253</v>
      </c>
      <c r="J631" s="341">
        <f ca="1">IFERROR(__xludf.DUMMYFUNCTION("IMPORTRANGE(""https://docs.google.com/spreadsheets/d/1SX6NBoVAgQJ6U1MVXOaj8PK2l7WJ3RER9xtqwdhxkhw/edit?usp=sharing"",""สระบุรี!J526"")"),61)</f>
        <v>61</v>
      </c>
      <c r="K631" s="342">
        <f t="shared" ca="1" si="129"/>
        <v>24.110671936758894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1">
        <f ca="1">IFERROR(__xludf.DUMMYFUNCTION("IMPORTRANGE(""https://docs.google.com/spreadsheets/d/1SX6NBoVAgQJ6U1MVXOaj8PK2l7WJ3RER9xtqwdhxkhw/edit?usp=sharing"",""สระบุรี!J527"")"),55596.08)</f>
        <v>55596.08</v>
      </c>
      <c r="K632" s="342">
        <f t="shared" ca="1" si="129"/>
        <v>2.256748827573869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IFERROR(__xludf.DUMMYFUNCTION("IMPORTRANGE(""https://docs.google.com/spreadsheets/d/1SX6NBoVAgQJ6U1MVXOaj8PK2l7WJ3RER9xtqwdhxkhw/edit?usp=sharing"",""สระบุรี!I528"")"),90)</f>
        <v>90</v>
      </c>
      <c r="J633" s="341">
        <f ca="1">IFERROR(__xludf.DUMMYFUNCTION("IMPORTRANGE(""https://docs.google.com/spreadsheets/d/1SX6NBoVAgQJ6U1MVXOaj8PK2l7WJ3RER9xtqwdhxkhw/edit?usp=sharing"",""สระบุรี!J528"")"),9)</f>
        <v>9</v>
      </c>
      <c r="K633" s="342">
        <f t="shared" ca="1" si="129"/>
        <v>10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IFERROR(__xludf.DUMMYFUNCTION("IMPORTRANGE(""https://docs.google.com/spreadsheets/d/1SX6NBoVAgQJ6U1MVXOaj8PK2l7WJ3RER9xtqwdhxkhw/edit?usp=sharing"",""สระบุรี!I529"")"),5265000)</f>
        <v>5265000</v>
      </c>
      <c r="J634" s="341">
        <f ca="1">IFERROR(__xludf.DUMMYFUNCTION("IMPORTRANGE(""https://docs.google.com/spreadsheets/d/1SX6NBoVAgQJ6U1MVXOaj8PK2l7WJ3RER9xtqwdhxkhw/edit?usp=sharing"",""สระบุรี!J529"")"),650000)</f>
        <v>650000</v>
      </c>
      <c r="K634" s="342">
        <f t="shared" ca="1" si="129"/>
        <v>12.345679012345679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IFERROR(__xludf.DUMMYFUNCTION("IMPORTRANGE(""https://docs.google.com/spreadsheets/d/1SX6NBoVAgQJ6U1MVXOaj8PK2l7WJ3RER9xtqwdhxkhw/edit?usp=sharing"",""สระบุรี!I530"")"),134)</f>
        <v>134</v>
      </c>
      <c r="J635" s="504">
        <f ca="1">IFERROR(__xludf.DUMMYFUNCTION("IMPORTRANGE(""https://docs.google.com/spreadsheets/d/1SX6NBoVAgQJ6U1MVXOaj8PK2l7WJ3RER9xtqwdhxkhw/edit?usp=sharing"",""สระบุรี!J530"")"),13)</f>
        <v>13</v>
      </c>
      <c r="K635" s="486">
        <f t="shared" ca="1" si="129"/>
        <v>9.7014925373134329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42578125" bestFit="1" customWidth="1"/>
    <col min="10" max="10" width="15.85546875" customWidth="1"/>
    <col min="11" max="11" width="11.28515625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238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7537048</v>
      </c>
      <c r="M8" s="23">
        <f t="shared" ca="1" si="0"/>
        <v>2609231</v>
      </c>
      <c r="N8" s="23">
        <f t="shared" ca="1" si="0"/>
        <v>2534798.79</v>
      </c>
      <c r="O8" s="22">
        <f t="shared" ref="O8:O16" ca="1" si="1">IF(L8&gt;0,N8*100/L8,0)</f>
        <v>33.631188099107234</v>
      </c>
      <c r="P8" s="22">
        <f t="shared" ref="P8:P16" ca="1" si="2">IF(M8&gt;0,N8*100/M8,0)</f>
        <v>97.147350694514969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7537048</v>
      </c>
      <c r="M10" s="30">
        <f t="shared" ca="1" si="4"/>
        <v>2609231</v>
      </c>
      <c r="N10" s="30">
        <f t="shared" ca="1" si="4"/>
        <v>2534798.79</v>
      </c>
      <c r="O10" s="29">
        <f t="shared" ca="1" si="1"/>
        <v>33.631188099107234</v>
      </c>
      <c r="P10" s="29">
        <f t="shared" ca="1" si="2"/>
        <v>97.147350694514969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7133748</v>
      </c>
      <c r="M12" s="38">
        <f t="shared" ca="1" si="6"/>
        <v>2205931</v>
      </c>
      <c r="N12" s="38">
        <f t="shared" ca="1" si="6"/>
        <v>2223898.79</v>
      </c>
      <c r="O12" s="38">
        <f t="shared" ca="1" si="1"/>
        <v>31.174339071130632</v>
      </c>
      <c r="P12" s="38">
        <f t="shared" ca="1" si="2"/>
        <v>100.81452185041145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4663748</v>
      </c>
      <c r="M14" s="38">
        <f t="shared" si="8"/>
        <v>0</v>
      </c>
      <c r="N14" s="38">
        <f t="shared" ca="1" si="8"/>
        <v>657028.79</v>
      </c>
      <c r="O14" s="38">
        <f t="shared" ca="1" si="1"/>
        <v>14.087999394478432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403300</v>
      </c>
      <c r="M16" s="38">
        <f t="shared" ca="1" si="10"/>
        <v>403300</v>
      </c>
      <c r="N16" s="38">
        <f t="shared" ca="1" si="10"/>
        <v>310900</v>
      </c>
      <c r="O16" s="49">
        <f t="shared" ca="1" si="1"/>
        <v>77.089015621125711</v>
      </c>
      <c r="P16" s="49">
        <f t="shared" ca="1" si="2"/>
        <v>77.089015621125711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4389410</v>
      </c>
      <c r="M18" s="23">
        <f t="shared" ca="1" si="11"/>
        <v>2609231</v>
      </c>
      <c r="N18" s="23">
        <f t="shared" ca="1" si="11"/>
        <v>1877770</v>
      </c>
      <c r="O18" s="22">
        <f t="shared" ref="O18:O20" ca="1" si="12">IF(L18&gt;0,N18*100/L18,0)</f>
        <v>42.779553516304013</v>
      </c>
      <c r="P18" s="22">
        <f t="shared" ref="P18:P26" ca="1" si="13">IF(M18&gt;0,N18*100/M18,0)</f>
        <v>71.966414625611918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4389410</v>
      </c>
      <c r="M20" s="30">
        <f t="shared" ca="1" si="15"/>
        <v>2609231</v>
      </c>
      <c r="N20" s="30">
        <f t="shared" ca="1" si="15"/>
        <v>1877770</v>
      </c>
      <c r="O20" s="29">
        <f t="shared" ca="1" si="12"/>
        <v>42.779553516304013</v>
      </c>
      <c r="P20" s="29">
        <f t="shared" ca="1" si="13"/>
        <v>71.966414625611918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2205931</v>
      </c>
      <c r="N22" s="38">
        <f t="shared" ca="1" si="18"/>
        <v>1566870</v>
      </c>
      <c r="O22" s="38">
        <f t="shared" ca="1" si="17"/>
        <v>39.308247890800807</v>
      </c>
      <c r="P22" s="38">
        <f t="shared" ca="1" si="13"/>
        <v>71.029873554521885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403300</v>
      </c>
      <c r="M26" s="49">
        <f t="shared" ca="1" si="22"/>
        <v>403300</v>
      </c>
      <c r="N26" s="49">
        <f t="shared" ca="1" si="22"/>
        <v>310900</v>
      </c>
      <c r="O26" s="49">
        <f t="shared" ca="1" si="17"/>
        <v>77.089015621125711</v>
      </c>
      <c r="P26" s="49">
        <f t="shared" ca="1" si="13"/>
        <v>77.089015621125711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3147638</v>
      </c>
      <c r="M28" s="23">
        <f t="shared" si="23"/>
        <v>0</v>
      </c>
      <c r="N28" s="23">
        <f t="shared" ca="1" si="23"/>
        <v>657028.79</v>
      </c>
      <c r="O28" s="22">
        <f t="shared" ref="O28:O30" ca="1" si="24">IF(L28&gt;0,N28*100/L28,0)</f>
        <v>20.873708793704996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3147638</v>
      </c>
      <c r="M30" s="30">
        <f t="shared" si="27"/>
        <v>0</v>
      </c>
      <c r="N30" s="30">
        <f t="shared" ca="1" si="27"/>
        <v>657028.79</v>
      </c>
      <c r="O30" s="29">
        <f t="shared" ca="1" si="24"/>
        <v>20.873708793704996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3147638</v>
      </c>
      <c r="M32" s="38">
        <f t="shared" si="30"/>
        <v>0</v>
      </c>
      <c r="N32" s="38">
        <f t="shared" ca="1" si="30"/>
        <v>657028.79</v>
      </c>
      <c r="O32" s="38">
        <f t="shared" ca="1" si="29"/>
        <v>20.873708793704996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3147638</v>
      </c>
      <c r="M34" s="38">
        <f t="shared" si="32"/>
        <v>0</v>
      </c>
      <c r="N34" s="38">
        <f t="shared" ca="1" si="32"/>
        <v>657028.79</v>
      </c>
      <c r="O34" s="38">
        <f t="shared" ca="1" si="29"/>
        <v>20.873708793704996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4389410</v>
      </c>
      <c r="M37" s="54">
        <f t="shared" ca="1" si="33"/>
        <v>2609231</v>
      </c>
      <c r="N37" s="54">
        <f t="shared" ca="1" si="33"/>
        <v>1877770</v>
      </c>
      <c r="O37" s="55">
        <f t="shared" ca="1" si="29"/>
        <v>42.779553516304013</v>
      </c>
      <c r="P37" s="55">
        <f t="shared" ca="1" si="25"/>
        <v>71.966414625611918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1085100</v>
      </c>
      <c r="M41" s="78">
        <f t="shared" ca="1" si="34"/>
        <v>630600</v>
      </c>
      <c r="N41" s="78">
        <f t="shared" ca="1" si="34"/>
        <v>541586</v>
      </c>
      <c r="O41" s="77">
        <f t="shared" ref="O41:O43" ca="1" si="35">IF(L41&gt;0,N41*100/L41,0)</f>
        <v>49.911160261727026</v>
      </c>
      <c r="P41" s="77">
        <f t="shared" ref="P41:P43" ca="1" si="36">IF(M41&gt;0,N41*100/M41,0)</f>
        <v>85.884237234379952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1085100</v>
      </c>
      <c r="M43" s="78">
        <f t="shared" ca="1" si="38"/>
        <v>630600</v>
      </c>
      <c r="N43" s="78">
        <f t="shared" ca="1" si="38"/>
        <v>541586</v>
      </c>
      <c r="O43" s="77">
        <f t="shared" ca="1" si="35"/>
        <v>49.911160261727026</v>
      </c>
      <c r="P43" s="77">
        <f t="shared" ca="1" si="36"/>
        <v>85.884237234379952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IFERROR(__xludf.DUMMYFUNCTION("IMPORTRANGE(""https://docs.google.com/spreadsheets/d/1Yj_ptqi66GCucihVvJfMjLAmec39IyEx_6qawtMGysU/edit?usp=sharing"",""สบก!Q59"")"),534600)</f>
        <v>534600</v>
      </c>
      <c r="N45" s="49">
        <f ca="1">IFERROR(__xludf.DUMMYFUNCTION("IMPORTRANGE(""https://docs.google.com/spreadsheets/d/1Yj_ptqi66GCucihVvJfMjLAmec39IyEx_6qawtMGysU/edit?usp=sharing"",""สบก!R59"")"),445586)</f>
        <v>445586</v>
      </c>
      <c r="O45" s="38">
        <f ca="1">IF(L45&gt;0,N45*100/L45,0)</f>
        <v>45.049641087857651</v>
      </c>
      <c r="P45" s="38">
        <f ca="1">IF(M45&gt;0,N45*100/M45,0)</f>
        <v>83.349420127197902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IFERROR(__xludf.DUMMYFUNCTION("IMPORTRANGE(""https://docs.google.com/spreadsheets/d/1Yj_ptqi66GCucihVvJfMjLAmec39IyEx_6qawtMGysU/edit?usp=sharing"",""สบก!O59"")"),96000)</f>
        <v>96000</v>
      </c>
      <c r="M49" s="49">
        <f ca="1">L49</f>
        <v>96000</v>
      </c>
      <c r="N49" s="49">
        <f ca="1">IFERROR(__xludf.DUMMYFUNCTION("IMPORTRANGE(""https://docs.google.com/spreadsheets/d/1Yj_ptqi66GCucihVvJfMjLAmec39IyEx_6qawtMGysU/edit?usp=sharing"",""สบก!S59"")"),96000)</f>
        <v>96000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263401</v>
      </c>
      <c r="N53" s="121">
        <f t="shared" ca="1" si="39"/>
        <v>256082</v>
      </c>
      <c r="O53" s="120">
        <f t="shared" ref="O53:O55" ca="1" si="40">IF(L53&gt;0,N53*100/L53,0)</f>
        <v>52.583572895277207</v>
      </c>
      <c r="P53" s="120">
        <f t="shared" ref="P53:P55" ca="1" si="41">IF(M53&gt;0,N53*100/M53,0)</f>
        <v>97.221346919715572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263401</v>
      </c>
      <c r="N55" s="121">
        <f t="shared" ca="1" si="43"/>
        <v>256082</v>
      </c>
      <c r="O55" s="120">
        <f t="shared" ca="1" si="40"/>
        <v>52.583572895277207</v>
      </c>
      <c r="P55" s="120">
        <f t="shared" ca="1" si="41"/>
        <v>97.221346919715572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IFERROR(__xludf.DUMMYFUNCTION("IMPORTRANGE(""https://docs.google.com/spreadsheets/d/1Yj_ptqi66GCucihVvJfMjLAmec39IyEx_6qawtMGysU/edit?usp=sharing"",""สบก!Z59"")"),263401)</f>
        <v>263401</v>
      </c>
      <c r="N57" s="49">
        <f ca="1">IFERROR(__xludf.DUMMYFUNCTION("IMPORTRANGE(""https://docs.google.com/spreadsheets/d/1Yj_ptqi66GCucihVvJfMjLAmec39IyEx_6qawtMGysU/edit?usp=sharing"",""สบก!AA59"")"),256082)</f>
        <v>256082</v>
      </c>
      <c r="O57" s="38">
        <f ca="1">IF(L57&gt;0,N57*100/L57,0)</f>
        <v>52.583572895277207</v>
      </c>
      <c r="P57" s="38">
        <f ca="1">IF(M57&gt;0,N57*100/M57,0)</f>
        <v>97.221346919715572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IFERROR(__xludf.DUMMYFUNCTION("IMPORTRANGE(""https://docs.google.com/spreadsheets/d/1Yj_ptqi66GCucihVvJfMjLAmec39IyEx_6qawtMGysU/edit?usp=sharing"",""สบก!AI59"")"),0)</f>
        <v>0</v>
      </c>
      <c r="N70" s="170">
        <f ca="1">IFERROR(__xludf.DUMMYFUNCTION("IMPORTRANGE(""https://docs.google.com/spreadsheets/d/1Yj_ptqi66GCucihVvJfMjLAmec39IyEx_6qawtMGysU/edit?usp=sharing"",""สบก!AJ59"")"),0)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IFERROR(__xludf.DUMMYFUNCTION("IMPORTRANGE(""https://docs.google.com/spreadsheets/d/1Yj_ptqi66GCucihVvJfMjLAmec39IyEx_6qawtMGysU/edit?usp=sharing"",""สบก!AE59"")"),0)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IFERROR(__xludf.DUMMYFUNCTION("IMPORTRANGE(""https://docs.google.com/spreadsheets/d/1Yj_ptqi66GCucihVvJfMjLAmec39IyEx_6qawtMGysU/edit?usp=sharing"",""สบก!AF59"")"),0)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IFERROR(__xludf.DUMMYFUNCTION("IMPORTRANGE(""https://docs.google.com/spreadsheets/d/1SX6NBoVAgQJ6U1MVXOaj8PK2l7WJ3RER9xtqwdhxkhw/edit?usp=sharing"",""กาญจนบุรี!J16"")"),0)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IFERROR(__xludf.DUMMYFUNCTION("IMPORTRANGE(""https://docs.google.com/spreadsheets/d/1SX6NBoVAgQJ6U1MVXOaj8PK2l7WJ3RER9xtqwdhxkhw/edit?usp=sharing"",""กาญจนบุรี!J17"")"),0)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IFERROR(__xludf.DUMMYFUNCTION("IMPORTRANGE(""https://docs.google.com/spreadsheets/d/1SX6NBoVAgQJ6U1MVXOaj8PK2l7WJ3RER9xtqwdhxkhw/edit?usp=sharing"",""กาญจนบุรี!J18"")"),0)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IFERROR(__xludf.DUMMYFUNCTION("IMPORTRANGE(""https://docs.google.com/spreadsheets/d/1SX6NBoVAgQJ6U1MVXOaj8PK2l7WJ3RER9xtqwdhxkhw/edit?usp=sharing"",""กาญจนบุรี!J19"")"),0)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IFERROR(__xludf.DUMMYFUNCTION("IMPORTRANGE(""https://docs.google.com/spreadsheets/d/1SX6NBoVAgQJ6U1MVXOaj8PK2l7WJ3RER9xtqwdhxkhw/edit?usp=sharing"",""กาญจนบุรี!I20"")"),0)</f>
        <v>0</v>
      </c>
      <c r="J80" s="202">
        <f ca="1">IFERROR(__xludf.DUMMYFUNCTION("IMPORTRANGE(""https://docs.google.com/spreadsheets/d/1SX6NBoVAgQJ6U1MVXOaj8PK2l7WJ3RER9xtqwdhxkhw/edit?usp=sharing"",""กาญจนบุรี!J20"")"),0)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IFERROR(__xludf.DUMMYFUNCTION("IMPORTRANGE(""https://docs.google.com/spreadsheets/d/1SX6NBoVAgQJ6U1MVXOaj8PK2l7WJ3RER9xtqwdhxkhw/edit?usp=sharing"",""กาญจนบุรี!I21"")"),0)</f>
        <v>0</v>
      </c>
      <c r="J81" s="202">
        <f ca="1">IFERROR(__xludf.DUMMYFUNCTION("IMPORTRANGE(""https://docs.google.com/spreadsheets/d/1SX6NBoVAgQJ6U1MVXOaj8PK2l7WJ3RER9xtqwdhxkhw/edit?usp=sharing"",""กาญจนบุรี!J21"")"),0)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IFERROR(__xludf.DUMMYFUNCTION("IMPORTRANGE(""https://docs.google.com/spreadsheets/d/1SX6NBoVAgQJ6U1MVXOaj8PK2l7WJ3RER9xtqwdhxkhw/edit?usp=sharing"",""กาญจนบุรี!I22"")"),0)</f>
        <v>0</v>
      </c>
      <c r="J82" s="205">
        <f ca="1">IFERROR(__xludf.DUMMYFUNCTION("IMPORTRANGE(""https://docs.google.com/spreadsheets/d/1SX6NBoVAgQJ6U1MVXOaj8PK2l7WJ3RER9xtqwdhxkhw/edit?usp=sharing"",""กาญจนบุรี!J22"")"),0)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IFERROR(__xludf.DUMMYFUNCTION("IMPORTRANGE(""https://docs.google.com/spreadsheets/d/1SX6NBoVAgQJ6U1MVXOaj8PK2l7WJ3RER9xtqwdhxkhw/edit?usp=sharing"",""กาญจนบุรี!I23"")"),0)</f>
        <v>0</v>
      </c>
      <c r="J83" s="205">
        <f ca="1">IFERROR(__xludf.DUMMYFUNCTION("IMPORTRANGE(""https://docs.google.com/spreadsheets/d/1SX6NBoVAgQJ6U1MVXOaj8PK2l7WJ3RER9xtqwdhxkhw/edit?usp=sharing"",""กาญจนบุรี!J23"")"),0)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IFERROR(__xludf.DUMMYFUNCTION("IMPORTRANGE(""https://docs.google.com/spreadsheets/d/1SX6NBoVAgQJ6U1MVXOaj8PK2l7WJ3RER9xtqwdhxkhw/edit?usp=sharing"",""กาญจนบุรี!I24"")"),0)</f>
        <v>0</v>
      </c>
      <c r="J84" s="190">
        <f ca="1">IFERROR(__xludf.DUMMYFUNCTION("IMPORTRANGE(""https://docs.google.com/spreadsheets/d/1SX6NBoVAgQJ6U1MVXOaj8PK2l7WJ3RER9xtqwdhxkhw/edit?usp=sharing"",""กาญจนบุรี!J24"")"),0)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IFERROR(__xludf.DUMMYFUNCTION("IMPORTRANGE(""https://docs.google.com/spreadsheets/d/1SX6NBoVAgQJ6U1MVXOaj8PK2l7WJ3RER9xtqwdhxkhw/edit?usp=sharing"",""กาญจนบุรี!I25"")"),0)</f>
        <v>0</v>
      </c>
      <c r="J85" s="190">
        <f ca="1">IFERROR(__xludf.DUMMYFUNCTION("IMPORTRANGE(""https://docs.google.com/spreadsheets/d/1SX6NBoVAgQJ6U1MVXOaj8PK2l7WJ3RER9xtqwdhxkhw/edit?usp=sharing"",""กาญจนบุรี!J25"")"),0)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IFERROR(__xludf.DUMMYFUNCTION("IMPORTRANGE(""https://docs.google.com/spreadsheets/d/1SX6NBoVAgQJ6U1MVXOaj8PK2l7WJ3RER9xtqwdhxkhw/edit?usp=sharing"",""กาญจนบุรี!I26"")"),0)</f>
        <v>0</v>
      </c>
      <c r="J86" s="205">
        <f ca="1">IFERROR(__xludf.DUMMYFUNCTION("IMPORTRANGE(""https://docs.google.com/spreadsheets/d/1SX6NBoVAgQJ6U1MVXOaj8PK2l7WJ3RER9xtqwdhxkhw/edit?usp=sharing"",""กาญจนบุรี!J26"")"),0)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IFERROR(__xludf.DUMMYFUNCTION("IMPORTRANGE(""https://docs.google.com/spreadsheets/d/1SX6NBoVAgQJ6U1MVXOaj8PK2l7WJ3RER9xtqwdhxkhw/edit?usp=sharing"",""กาญจนบุรี!I27"")"),0)</f>
        <v>0</v>
      </c>
      <c r="J87" s="205">
        <f ca="1">IFERROR(__xludf.DUMMYFUNCTION("IMPORTRANGE(""https://docs.google.com/spreadsheets/d/1SX6NBoVAgQJ6U1MVXOaj8PK2l7WJ3RER9xtqwdhxkhw/edit?usp=sharing"",""กาญจนบุรี!J27"")"),0)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IFERROR(__xludf.DUMMYFUNCTION("IMPORTRANGE(""https://docs.google.com/spreadsheets/d/1SX6NBoVAgQJ6U1MVXOaj8PK2l7WJ3RER9xtqwdhxkhw/edit?usp=sharing"",""กาญจนบุรี!I28"")"),0)</f>
        <v>0</v>
      </c>
      <c r="J88" s="205">
        <f ca="1">IFERROR(__xludf.DUMMYFUNCTION("IMPORTRANGE(""https://docs.google.com/spreadsheets/d/1SX6NBoVAgQJ6U1MVXOaj8PK2l7WJ3RER9xtqwdhxkhw/edit?usp=sharing"",""กาญจนบุรี!J28"")"),0)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IFERROR(__xludf.DUMMYFUNCTION("IMPORTRANGE(""https://docs.google.com/spreadsheets/d/1SX6NBoVAgQJ6U1MVXOaj8PK2l7WJ3RER9xtqwdhxkhw/edit?usp=sharing"",""กาญจนบุรี!J29"")"),0)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318960</v>
      </c>
      <c r="M94" s="152">
        <f t="shared" ca="1" si="52"/>
        <v>265590</v>
      </c>
      <c r="N94" s="152">
        <f t="shared" ca="1" si="52"/>
        <v>92400</v>
      </c>
      <c r="O94" s="151">
        <f t="shared" ref="O94:O96" ca="1" si="53">IF(L94&gt;0,N94*100/L94,0)</f>
        <v>28.969149736644095</v>
      </c>
      <c r="P94" s="151">
        <f t="shared" ref="P94:P96" ca="1" si="54">IF(M94&gt;0,N94*100/M94,0)</f>
        <v>34.790466508528183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318960</v>
      </c>
      <c r="M96" s="157">
        <f t="shared" ca="1" si="56"/>
        <v>265590</v>
      </c>
      <c r="N96" s="157">
        <f t="shared" ca="1" si="56"/>
        <v>92400</v>
      </c>
      <c r="O96" s="156">
        <f t="shared" ca="1" si="53"/>
        <v>28.969149736644095</v>
      </c>
      <c r="P96" s="156">
        <f t="shared" ca="1" si="54"/>
        <v>34.790466508528183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134160</v>
      </c>
      <c r="M98" s="169">
        <f ca="1">IFERROR(__xludf.DUMMYFUNCTION("IMPORTRANGE(""https://docs.google.com/spreadsheets/d/1Yj_ptqi66GCucihVvJfMjLAmec39IyEx_6qawtMGysU/edit?usp=sharing"",""สบก!AR59"")"),80790)</f>
        <v>80790</v>
      </c>
      <c r="N98" s="170">
        <f ca="1">IFERROR(__xludf.DUMMYFUNCTION("IMPORTRANGE(""https://docs.google.com/spreadsheets/d/1Yj_ptqi66GCucihVvJfMjLAmec39IyEx_6qawtMGysU/edit?usp=sharing"",""สบก!AS59"")"),0)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IFERROR(__xludf.DUMMYFUNCTION("IMPORTRANGE(""https://docs.google.com/spreadsheets/d/1Yj_ptqi66GCucihVvJfMjLAmec39IyEx_6qawtMGysU/edit?usp=sharing"",""สบก!AN59"")"),0)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IFERROR(__xludf.DUMMYFUNCTION("IMPORTRANGE(""https://docs.google.com/spreadsheets/d/1Yj_ptqi66GCucihVvJfMjLAmec39IyEx_6qawtMGysU/edit?usp=sharing"",""สบก!AO59"")"),134160)</f>
        <v>134160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IFERROR(__xludf.DUMMYFUNCTION("IMPORTRANGE(""https://docs.google.com/spreadsheets/d/1Yj_ptqi66GCucihVvJfMjLAmec39IyEx_6qawtMGysU/edit?usp=sharing"",""สบก!AT59"")"),92400)</f>
        <v>92400</v>
      </c>
      <c r="O102" s="49">
        <f ca="1">IF(L102&gt;0,N102*100/L102,0)</f>
        <v>50</v>
      </c>
      <c r="P102" s="49">
        <f ca="1">IF(M102&gt;0,N102*100/M102,0)</f>
        <v>50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IFERROR(__xludf.DUMMYFUNCTION("IMPORTRANGE(""https://docs.google.com/spreadsheets/d/1SX6NBoVAgQJ6U1MVXOaj8PK2l7WJ3RER9xtqwdhxkhw/edit?usp=sharing"",""กาญจนบุรี!J40"")"),1)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IFERROR(__xludf.DUMMYFUNCTION("IMPORTRANGE(""https://docs.google.com/spreadsheets/d/1SX6NBoVAgQJ6U1MVXOaj8PK2l7WJ3RER9xtqwdhxkhw/edit?usp=sharing"",""กาญจนบุรี!J41"")"),1)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IFERROR(__xludf.DUMMYFUNCTION("IMPORTRANGE(""https://docs.google.com/spreadsheets/d/1SX6NBoVAgQJ6U1MVXOaj8PK2l7WJ3RER9xtqwdhxkhw/edit?usp=sharing"",""กาญจนบุรี!J42"")"),1)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IFERROR(__xludf.DUMMYFUNCTION("IMPORTRANGE(""https://docs.google.com/spreadsheets/d/1SX6NBoVAgQJ6U1MVXOaj8PK2l7WJ3RER9xtqwdhxkhw/edit?usp=sharing"",""กาญจนบุรี!I43"")"),1)</f>
        <v>1</v>
      </c>
      <c r="J108" s="205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IFERROR(__xludf.DUMMYFUNCTION("IMPORTRANGE(""https://docs.google.com/spreadsheets/d/1SX6NBoVAgQJ6U1MVXOaj8PK2l7WJ3RER9xtqwdhxkhw/edit?usp=sharing"",""กาญจนบุรี!I44"")"),7)</f>
        <v>7</v>
      </c>
      <c r="J109" s="205">
        <f ca="1">IFERROR(__xludf.DUMMYFUNCTION("IMPORTRANGE(""https://docs.google.com/spreadsheets/d/1SX6NBoVAgQJ6U1MVXOaj8PK2l7WJ3RER9xtqwdhxkhw/edit?usp=sharing"",""กาญจนบุรี!J44"")"),0)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IFERROR(__xludf.DUMMYFUNCTION("IMPORTRANGE(""https://docs.google.com/spreadsheets/d/1SX6NBoVAgQJ6U1MVXOaj8PK2l7WJ3RER9xtqwdhxkhw/edit?usp=sharing"",""กาญจนบุรี!I45"")"),7)</f>
        <v>7</v>
      </c>
      <c r="J110" s="205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IFERROR(__xludf.DUMMYFUNCTION("IMPORTRANGE(""https://docs.google.com/spreadsheets/d/1SX6NBoVAgQJ6U1MVXOaj8PK2l7WJ3RER9xtqwdhxkhw/edit?usp=sharing"",""กาญจนบุรี!I46"")"),7)</f>
        <v>7</v>
      </c>
      <c r="J111" s="205">
        <f ca="1">IFERROR(__xludf.DUMMYFUNCTION("IMPORTRANGE(""https://docs.google.com/spreadsheets/d/1SX6NBoVAgQJ6U1MVXOaj8PK2l7WJ3RER9xtqwdhxkhw/edit?usp=sharing"",""กาญจนบุรี!J46"")"),0)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IFERROR(__xludf.DUMMYFUNCTION("IMPORTRANGE(""https://docs.google.com/spreadsheets/d/1SX6NBoVAgQJ6U1MVXOaj8PK2l7WJ3RER9xtqwdhxkhw/edit?usp=sharing"",""กาญจนบุรี!I47"")"),7)</f>
        <v>7</v>
      </c>
      <c r="J112" s="205">
        <f ca="1">IFERROR(__xludf.DUMMYFUNCTION("IMPORTRANGE(""https://docs.google.com/spreadsheets/d/1SX6NBoVAgQJ6U1MVXOaj8PK2l7WJ3RER9xtqwdhxkhw/edit?usp=sharing"",""กาญจนบุรี!J47"")"),0)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IFERROR(__xludf.DUMMYFUNCTION("IMPORTRANGE(""https://docs.google.com/spreadsheets/d/1SX6NBoVAgQJ6U1MVXOaj8PK2l7WJ3RER9xtqwdhxkhw/edit?usp=sharing"",""กาญจนบุรี!I48"")"),2)</f>
        <v>2</v>
      </c>
      <c r="J113" s="205">
        <f ca="1">IFERROR(__xludf.DUMMYFUNCTION("IMPORTRANGE(""https://docs.google.com/spreadsheets/d/1SX6NBoVAgQJ6U1MVXOaj8PK2l7WJ3RER9xtqwdhxkhw/edit?usp=sharing"",""กาญจนบุรี!J48"")"),0)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IFERROR(__xludf.DUMMYFUNCTION("IMPORTRANGE(""https://docs.google.com/spreadsheets/d/1SX6NBoVAgQJ6U1MVXOaj8PK2l7WJ3RER9xtqwdhxkhw/edit?usp=sharing"",""กาญจนบุรี!J50"")"),0)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21100</v>
      </c>
      <c r="O118" s="151">
        <f t="shared" ref="O118:O120" ca="1" si="59">IF(L118&gt;0,N118*100/L118,0)</f>
        <v>25.594371664240661</v>
      </c>
      <c r="P118" s="151">
        <f t="shared" ref="P118:P120" ca="1" si="60">IF(M118&gt;0,N118*100/M118,0)</f>
        <v>31.757977122215532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21100</v>
      </c>
      <c r="O120" s="156">
        <f t="shared" ca="1" si="59"/>
        <v>25.594371664240661</v>
      </c>
      <c r="P120" s="156">
        <f t="shared" ca="1" si="60"/>
        <v>31.757977122215532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IFERROR(__xludf.DUMMYFUNCTION("IMPORTRANGE(""https://docs.google.com/spreadsheets/d/1Yj_ptqi66GCucihVvJfMjLAmec39IyEx_6qawtMGysU/edit?usp=sharing"",""สบก!BA59"")"),66440)</f>
        <v>66440</v>
      </c>
      <c r="N122" s="170">
        <f ca="1">IFERROR(__xludf.DUMMYFUNCTION("IMPORTRANGE(""https://docs.google.com/spreadsheets/d/1Yj_ptqi66GCucihVvJfMjLAmec39IyEx_6qawtMGysU/edit?usp=sharing"",""สบก!BB59"")"),21100)</f>
        <v>21100</v>
      </c>
      <c r="O122" s="170">
        <f ca="1">IF(L122&gt;0,N122*100/L122,0)</f>
        <v>25.594371664240661</v>
      </c>
      <c r="P122" s="170">
        <f ca="1">IF(M122&gt;0,N122*100/M122,0)</f>
        <v>31.757977122215532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IFERROR(__xludf.DUMMYFUNCTION("IMPORTRANGE(""https://docs.google.com/spreadsheets/d/1Yj_ptqi66GCucihVvJfMjLAmec39IyEx_6qawtMGysU/edit?usp=sharing"",""สบก!AW59"")"),0)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IFERROR(__xludf.DUMMYFUNCTION("IMPORTRANGE(""https://docs.google.com/spreadsheets/d/1Yj_ptqi66GCucihVvJfMjLAmec39IyEx_6qawtMGysU/edit?usp=sharing"",""สบก!AX59"")"),82440)</f>
        <v>82440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239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IFERROR(__xludf.DUMMYFUNCTION("IMPORTRANGE(""https://docs.google.com/spreadsheets/d/1SX6NBoVAgQJ6U1MVXOaj8PK2l7WJ3RER9xtqwdhxkhw/edit?usp=sharing"",""กาญจนบุรี!J59"")"),1)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IFERROR(__xludf.DUMMYFUNCTION("IMPORTRANGE(""https://docs.google.com/spreadsheets/d/1SX6NBoVAgQJ6U1MVXOaj8PK2l7WJ3RER9xtqwdhxkhw/edit?usp=sharing"",""กาญจนบุรี!J60"")"),1)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IFERROR(__xludf.DUMMYFUNCTION("IMPORTRANGE(""https://docs.google.com/spreadsheets/d/1SX6NBoVAgQJ6U1MVXOaj8PK2l7WJ3RER9xtqwdhxkhw/edit?usp=sharing"",""กาญจนบุรี!J61"")"),1)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IFERROR(__xludf.DUMMYFUNCTION("IMPORTRANGE(""https://docs.google.com/spreadsheets/d/1SX6NBoVAgQJ6U1MVXOaj8PK2l7WJ3RER9xtqwdhxkhw/edit?usp=sharing"",""กาญจนบุรี!I62"")"),20)</f>
        <v>20</v>
      </c>
      <c r="J132" s="205">
        <f ca="1">IFERROR(__xludf.DUMMYFUNCTION("IMPORTRANGE(""https://docs.google.com/spreadsheets/d/1SX6NBoVAgQJ6U1MVXOaj8PK2l7WJ3RER9xtqwdhxkhw/edit?usp=sharing"",""กาญจนบุรี!J62"")"),0)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IFERROR(__xludf.DUMMYFUNCTION("IMPORTRANGE(""https://docs.google.com/spreadsheets/d/1SX6NBoVAgQJ6U1MVXOaj8PK2l7WJ3RER9xtqwdhxkhw/edit?usp=sharing"",""กาญจนบุรี!I63"")"),20)</f>
        <v>20</v>
      </c>
      <c r="J133" s="205">
        <f ca="1">IFERROR(__xludf.DUMMYFUNCTION("IMPORTRANGE(""https://docs.google.com/spreadsheets/d/1SX6NBoVAgQJ6U1MVXOaj8PK2l7WJ3RER9xtqwdhxkhw/edit?usp=sharing"",""กาญจนบุรี!J63"")"),0)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647600</v>
      </c>
      <c r="M140" s="152">
        <f t="shared" ca="1" si="64"/>
        <v>400450</v>
      </c>
      <c r="N140" s="152">
        <f t="shared" ca="1" si="64"/>
        <v>292838</v>
      </c>
      <c r="O140" s="151">
        <f t="shared" ref="O140:O142" ca="1" si="65">IF(L140&gt;0,N140*100/L140,0)</f>
        <v>45.218962322421248</v>
      </c>
      <c r="P140" s="151">
        <f t="shared" ref="P140:P142" ca="1" si="66">IF(M140&gt;0,N140*100/M140,0)</f>
        <v>73.127231864152833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647600</v>
      </c>
      <c r="M142" s="157">
        <f t="shared" ca="1" si="68"/>
        <v>400450</v>
      </c>
      <c r="N142" s="157">
        <f t="shared" ca="1" si="68"/>
        <v>292838</v>
      </c>
      <c r="O142" s="156">
        <f t="shared" ca="1" si="65"/>
        <v>45.218962322421248</v>
      </c>
      <c r="P142" s="156">
        <f t="shared" ca="1" si="66"/>
        <v>73.127231864152833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647600</v>
      </c>
      <c r="M144" s="169">
        <f ca="1">IFERROR(__xludf.DUMMYFUNCTION("IMPORTRANGE(""https://docs.google.com/spreadsheets/d/1Yj_ptqi66GCucihVvJfMjLAmec39IyEx_6qawtMGysU/edit?usp=sharing"",""สบก!BJ59"")"),400450)</f>
        <v>400450</v>
      </c>
      <c r="N144" s="170">
        <f ca="1">IFERROR(__xludf.DUMMYFUNCTION("IMPORTRANGE(""https://docs.google.com/spreadsheets/d/1Yj_ptqi66GCucihVvJfMjLAmec39IyEx_6qawtMGysU/edit?usp=sharing"",""สบก!BK59"")"),292838)</f>
        <v>292838</v>
      </c>
      <c r="O144" s="170">
        <f ca="1">IF(L144&gt;0,N144*100/L144,0)</f>
        <v>45.218962322421248</v>
      </c>
      <c r="P144" s="170">
        <f ca="1">IF(M144&gt;0,N144*100/M144,0)</f>
        <v>73.127231864152833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IFERROR(__xludf.DUMMYFUNCTION("IMPORTRANGE(""https://docs.google.com/spreadsheets/d/1Yj_ptqi66GCucihVvJfMjLAmec39IyEx_6qawtMGysU/edit?usp=sharing"",""สบก!BF59"")"),364700)</f>
        <v>364700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IFERROR(__xludf.DUMMYFUNCTION("IMPORTRANGE(""https://docs.google.com/spreadsheets/d/1Yj_ptqi66GCucihVvJfMjLAmec39IyEx_6qawtMGysU/edit?usp=sharing"",""สบก!BG59"")"),282900)</f>
        <v>282900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IFERROR(__xludf.DUMMYFUNCTION("IMPORTRANGE(""https://docs.google.com/spreadsheets/d/1SX6NBoVAgQJ6U1MVXOaj8PK2l7WJ3RER9xtqwdhxkhw/edit?usp=sharing"",""กาญจนบุรี!J79"")"),0)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IFERROR(__xludf.DUMMYFUNCTION("IMPORTRANGE(""https://docs.google.com/spreadsheets/d/1SX6NBoVAgQJ6U1MVXOaj8PK2l7WJ3RER9xtqwdhxkhw/edit?usp=sharing"",""กาญจนบุรี!J80"")"),1)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IFERROR(__xludf.DUMMYFUNCTION("IMPORTRANGE(""https://docs.google.com/spreadsheets/d/1SX6NBoVAgQJ6U1MVXOaj8PK2l7WJ3RER9xtqwdhxkhw/edit?usp=sharing"",""กาญจนบุรี!J81"")"),1)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IFERROR(__xludf.DUMMYFUNCTION("IMPORTRANGE(""https://docs.google.com/spreadsheets/d/1SX6NBoVAgQJ6U1MVXOaj8PK2l7WJ3RER9xtqwdhxkhw/edit?usp=sharing"",""กาญจนบุรี!J82"")"),1)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IFERROR(__xludf.DUMMYFUNCTION("IMPORTRANGE(""https://docs.google.com/spreadsheets/d/1SX6NBoVAgQJ6U1MVXOaj8PK2l7WJ3RER9xtqwdhxkhw/edit?usp=sharing"",""กาญจนบุรี!I83"")"),4)</f>
        <v>4</v>
      </c>
      <c r="J158" s="190">
        <f ca="1">IFERROR(__xludf.DUMMYFUNCTION("IMPORTRANGE(""https://docs.google.com/spreadsheets/d/1SX6NBoVAgQJ6U1MVXOaj8PK2l7WJ3RER9xtqwdhxkhw/edit?usp=sharing"",""กาญจนบุรี!J83"")"),2)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IFERROR(__xludf.DUMMYFUNCTION("IMPORTRANGE(""https://docs.google.com/spreadsheets/d/1SX6NBoVAgQJ6U1MVXOaj8PK2l7WJ3RER9xtqwdhxkhw/edit?usp=sharing"",""กาญจนบุรี!J84"")"),40)</f>
        <v>40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IFERROR(__xludf.DUMMYFUNCTION("IMPORTRANGE(""https://docs.google.com/spreadsheets/d/1SX6NBoVAgQJ6U1MVXOaj8PK2l7WJ3RER9xtqwdhxkhw/edit?usp=sharing"",""กาญจนบุรี!J85"")"),40)</f>
        <v>40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IFERROR(__xludf.DUMMYFUNCTION("IMPORTRANGE(""https://docs.google.com/spreadsheets/d/1SX6NBoVAgQJ6U1MVXOaj8PK2l7WJ3RER9xtqwdhxkhw/edit?usp=sharing"",""กาญจนบุรี!J86"")"),0)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IFERROR(__xludf.DUMMYFUNCTION("IMPORTRANGE(""https://docs.google.com/spreadsheets/d/1SX6NBoVAgQJ6U1MVXOaj8PK2l7WJ3RER9xtqwdhxkhw/edit?usp=sharing"",""กาญจนบุรี!J87"")"),0)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IFERROR(__xludf.DUMMYFUNCTION("IMPORTRANGE(""https://docs.google.com/spreadsheets/d/1SX6NBoVAgQJ6U1MVXOaj8PK2l7WJ3RER9xtqwdhxkhw/edit?usp=sharing"",""กาญจนบุรี!J88"")"),0)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IFERROR(__xludf.DUMMYFUNCTION("IMPORTRANGE(""https://docs.google.com/spreadsheets/d/1SX6NBoVAgQJ6U1MVXOaj8PK2l7WJ3RER9xtqwdhxkhw/edit?usp=sharing"",""กาญจนบุรี!I89"")"),4)</f>
        <v>4</v>
      </c>
      <c r="J164" s="284">
        <f ca="1">IFERROR(__xludf.DUMMYFUNCTION("IMPORTRANGE(""https://docs.google.com/spreadsheets/d/1SX6NBoVAgQJ6U1MVXOaj8PK2l7WJ3RER9xtqwdhxkhw/edit?usp=sharing"",""กาญจนบุรี!J89"")"),4)</f>
        <v>4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IFERROR(__xludf.DUMMYFUNCTION("IMPORTRANGE(""https://docs.google.com/spreadsheets/d/1SX6NBoVAgQJ6U1MVXOaj8PK2l7WJ3RER9xtqwdhxkhw/edit?usp=sharing"",""กาญจนบุรี!J94"")"),0)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IFERROR(__xludf.DUMMYFUNCTION("IMPORTRANGE(""https://docs.google.com/spreadsheets/d/1SX6NBoVAgQJ6U1MVXOaj8PK2l7WJ3RER9xtqwdhxkhw/edit?usp=sharing"",""กาญจนบุรี!J95"")"),1)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IFERROR(__xludf.DUMMYFUNCTION("IMPORTRANGE(""https://docs.google.com/spreadsheets/d/1SX6NBoVAgQJ6U1MVXOaj8PK2l7WJ3RER9xtqwdhxkhw/edit?usp=sharing"",""กาญจนบุรี!J96"")"),1)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IFERROR(__xludf.DUMMYFUNCTION("IMPORTRANGE(""https://docs.google.com/spreadsheets/d/1SX6NBoVAgQJ6U1MVXOaj8PK2l7WJ3RER9xtqwdhxkhw/edit?usp=sharing"",""กาญจนบุรี!J97"")"),1)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IFERROR(__xludf.DUMMYFUNCTION("IMPORTRANGE(""https://docs.google.com/spreadsheets/d/1SX6NBoVAgQJ6U1MVXOaj8PK2l7WJ3RER9xtqwdhxkhw/edit?usp=sharing"",""กาญจนบุรี!I98"")"),4)</f>
        <v>4</v>
      </c>
      <c r="J173" s="190">
        <f ca="1">IFERROR(__xludf.DUMMYFUNCTION("IMPORTRANGE(""https://docs.google.com/spreadsheets/d/1SX6NBoVAgQJ6U1MVXOaj8PK2l7WJ3RER9xtqwdhxkhw/edit?usp=sharing"",""กาญจนบุรี!J98"")"),4)</f>
        <v>4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IFERROR(__xludf.DUMMYFUNCTION("IMPORTRANGE(""https://docs.google.com/spreadsheets/d/1SX6NBoVAgQJ6U1MVXOaj8PK2l7WJ3RER9xtqwdhxkhw/edit?usp=sharing"",""กาญจนบุรี!J99"")"),0)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IFERROR(__xludf.DUMMYFUNCTION("IMPORTRANGE(""https://docs.google.com/spreadsheets/d/1SX6NBoVAgQJ6U1MVXOaj8PK2l7WJ3RER9xtqwdhxkhw/edit?usp=sharing"",""กาญจนบุรี!J100"")"),0)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IFERROR(__xludf.DUMMYFUNCTION("IMPORTRANGE(""https://docs.google.com/spreadsheets/d/1SX6NBoVAgQJ6U1MVXOaj8PK2l7WJ3RER9xtqwdhxkhw/edit?usp=sharing"",""กาญจนบุรี!I101"")"),6)</f>
        <v>6</v>
      </c>
      <c r="J176" s="284">
        <f ca="1">IFERROR(__xludf.DUMMYFUNCTION("IMPORTRANGE(""https://docs.google.com/spreadsheets/d/1SX6NBoVAgQJ6U1MVXOaj8PK2l7WJ3RER9xtqwdhxkhw/edit?usp=sharing"",""กาญจนบุรี!J101"")"),6)</f>
        <v>6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IFERROR(__xludf.DUMMYFUNCTION("IMPORTRANGE(""https://docs.google.com/spreadsheets/d/1SX6NBoVAgQJ6U1MVXOaj8PK2l7WJ3RER9xtqwdhxkhw/edit?usp=sharing"",""กาญจนบุรี!J107"")"),1)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IFERROR(__xludf.DUMMYFUNCTION("IMPORTRANGE(""https://docs.google.com/spreadsheets/d/1SX6NBoVAgQJ6U1MVXOaj8PK2l7WJ3RER9xtqwdhxkhw/edit?usp=sharing"",""กาญจนบุรี!J108"")"),1)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IFERROR(__xludf.DUMMYFUNCTION("IMPORTRANGE(""https://docs.google.com/spreadsheets/d/1SX6NBoVAgQJ6U1MVXOaj8PK2l7WJ3RER9xtqwdhxkhw/edit?usp=sharing"",""กาญจนบุรี!J109"")"),1)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IFERROR(__xludf.DUMMYFUNCTION("IMPORTRANGE(""https://docs.google.com/spreadsheets/d/1SX6NBoVAgQJ6U1MVXOaj8PK2l7WJ3RER9xtqwdhxkhw/edit?usp=sharing"",""กาญจนบุรี!I110"")"),6)</f>
        <v>6</v>
      </c>
      <c r="J185" s="205">
        <f ca="1">IFERROR(__xludf.DUMMYFUNCTION("IMPORTRANGE(""https://docs.google.com/spreadsheets/d/1SX6NBoVAgQJ6U1MVXOaj8PK2l7WJ3RER9xtqwdhxkhw/edit?usp=sharing"",""กาญจนบุรี!J110"")"),0)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IFERROR(__xludf.DUMMYFUNCTION("IMPORTRANGE(""https://docs.google.com/spreadsheets/d/1SX6NBoVAgQJ6U1MVXOaj8PK2l7WJ3RER9xtqwdhxkhw/edit?usp=sharing"",""กาญจนบุรี!I111"")"),6)</f>
        <v>6</v>
      </c>
      <c r="J186" s="205">
        <f ca="1">IFERROR(__xludf.DUMMYFUNCTION("IMPORTRANGE(""https://docs.google.com/spreadsheets/d/1SX6NBoVAgQJ6U1MVXOaj8PK2l7WJ3RER9xtqwdhxkhw/edit?usp=sharing"",""กาญจนบุรี!J111"")"),6)</f>
        <v>6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IFERROR(__xludf.DUMMYFUNCTION("IMPORTRANGE(""https://docs.google.com/spreadsheets/d/1SX6NBoVAgQJ6U1MVXOaj8PK2l7WJ3RER9xtqwdhxkhw/edit?usp=sharing"",""กาญจนบุรี!J113"")"),0)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IFERROR(__xludf.DUMMYFUNCTION("IMPORTRANGE(""https://docs.google.com/spreadsheets/d/1SX6NBoVAgQJ6U1MVXOaj8PK2l7WJ3RER9xtqwdhxkhw/edit?usp=sharing"",""กาญจนบุรี!I114"")"),20000)</f>
        <v>20000</v>
      </c>
      <c r="J189" s="284">
        <f ca="1">IFERROR(__xludf.DUMMYFUNCTION("IMPORTRANGE(""https://docs.google.com/spreadsheets/d/1SX6NBoVAgQJ6U1MVXOaj8PK2l7WJ3RER9xtqwdhxkhw/edit?usp=sharing"",""กาญจนบุรี!J114"")"),0)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IFERROR(__xludf.DUMMYFUNCTION("IMPORTRANGE(""https://docs.google.com/spreadsheets/d/1SX6NBoVAgQJ6U1MVXOaj8PK2l7WJ3RER9xtqwdhxkhw/edit?usp=sharing"",""กาญจนบุรี!J119"")"),0)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IFERROR(__xludf.DUMMYFUNCTION("IMPORTRANGE(""https://docs.google.com/spreadsheets/d/1SX6NBoVAgQJ6U1MVXOaj8PK2l7WJ3RER9xtqwdhxkhw/edit?usp=sharing"",""กาญจนบุรี!J120"")"),1)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IFERROR(__xludf.DUMMYFUNCTION("IMPORTRANGE(""https://docs.google.com/spreadsheets/d/1SX6NBoVAgQJ6U1MVXOaj8PK2l7WJ3RER9xtqwdhxkhw/edit?usp=sharing"",""กาญจนบุรี!J121"")"),1)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IFERROR(__xludf.DUMMYFUNCTION("IMPORTRANGE(""https://docs.google.com/spreadsheets/d/1SX6NBoVAgQJ6U1MVXOaj8PK2l7WJ3RER9xtqwdhxkhw/edit?usp=sharing"",""กาญจนบุรี!J122"")"),1)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IFERROR(__xludf.DUMMYFUNCTION("IMPORTRANGE(""https://docs.google.com/spreadsheets/d/1SX6NBoVAgQJ6U1MVXOaj8PK2l7WJ3RER9xtqwdhxkhw/edit?usp=sharing"",""กาญจนบุรี!I124"")"),20000)</f>
        <v>20000</v>
      </c>
      <c r="J199" s="190">
        <f ca="1">IFERROR(__xludf.DUMMYFUNCTION("IMPORTRANGE(""https://docs.google.com/spreadsheets/d/1SX6NBoVAgQJ6U1MVXOaj8PK2l7WJ3RER9xtqwdhxkhw/edit?usp=sharing"",""กาญจนบุรี!J124"")"),0)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IFERROR(__xludf.DUMMYFUNCTION("IMPORTRANGE(""https://docs.google.com/spreadsheets/d/1SX6NBoVAgQJ6U1MVXOaj8PK2l7WJ3RER9xtqwdhxkhw/edit?usp=sharing"",""กาญจนบุรี!I125"")"),20000)</f>
        <v>20000</v>
      </c>
      <c r="J200" s="190">
        <f ca="1">IFERROR(__xludf.DUMMYFUNCTION("IMPORTRANGE(""https://docs.google.com/spreadsheets/d/1SX6NBoVAgQJ6U1MVXOaj8PK2l7WJ3RER9xtqwdhxkhw/edit?usp=sharing"",""กาญจนบุรี!J125"")"),0)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IFERROR(__xludf.DUMMYFUNCTION("IMPORTRANGE(""https://docs.google.com/spreadsheets/d/1SX6NBoVAgQJ6U1MVXOaj8PK2l7WJ3RER9xtqwdhxkhw/edit?usp=sharing"",""กาญจนบุรี!I126"")"),0)</f>
        <v>0</v>
      </c>
      <c r="J201" s="190">
        <f ca="1">IFERROR(__xludf.DUMMYFUNCTION("IMPORTRANGE(""https://docs.google.com/spreadsheets/d/1SX6NBoVAgQJ6U1MVXOaj8PK2l7WJ3RER9xtqwdhxkhw/edit?usp=sharing"",""กาญจนบุรี!J126"")"),0)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IFERROR(__xludf.DUMMYFUNCTION("IMPORTRANGE(""https://docs.google.com/spreadsheets/d/1SX6NBoVAgQJ6U1MVXOaj8PK2l7WJ3RER9xtqwdhxkhw/edit?usp=sharing"",""กาญจนบุรี!J127"")"),0)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IFERROR(__xludf.DUMMYFUNCTION("IMPORTRANGE(""https://docs.google.com/spreadsheets/d/1SX6NBoVAgQJ6U1MVXOaj8PK2l7WJ3RER9xtqwdhxkhw/edit?usp=sharing"",""กาญจนบุรี!J128"")"),0)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IFERROR(__xludf.DUMMYFUNCTION("IMPORTRANGE(""https://docs.google.com/spreadsheets/d/1SX6NBoVAgQJ6U1MVXOaj8PK2l7WJ3RER9xtqwdhxkhw/edit?usp=sharing"",""กาญจนบุรี!I129"")"),30)</f>
        <v>30</v>
      </c>
      <c r="J204" s="284">
        <f ca="1">IFERROR(__xludf.DUMMYFUNCTION("IMPORTRANGE(""https://docs.google.com/spreadsheets/d/1SX6NBoVAgQJ6U1MVXOaj8PK2l7WJ3RER9xtqwdhxkhw/edit?usp=sharing"",""กาญจนบุรี!J129"")"),0)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IFERROR(__xludf.DUMMYFUNCTION("IMPORTRANGE(""https://docs.google.com/spreadsheets/d/1SX6NBoVAgQJ6U1MVXOaj8PK2l7WJ3RER9xtqwdhxkhw/edit?usp=sharing"",""กาญจนบุรี!J135"")"),1)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IFERROR(__xludf.DUMMYFUNCTION("IMPORTRANGE(""https://docs.google.com/spreadsheets/d/1SX6NBoVAgQJ6U1MVXOaj8PK2l7WJ3RER9xtqwdhxkhw/edit?usp=sharing"",""กาญจนบุรี!J136"")"),1)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IFERROR(__xludf.DUMMYFUNCTION("IMPORTRANGE(""https://docs.google.com/spreadsheets/d/1SX6NBoVAgQJ6U1MVXOaj8PK2l7WJ3RER9xtqwdhxkhw/edit?usp=sharing"",""กาญจนบุรี!J137"")"),1)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IFERROR(__xludf.DUMMYFUNCTION("IMPORTRANGE(""https://docs.google.com/spreadsheets/d/1SX6NBoVAgQJ6U1MVXOaj8PK2l7WJ3RER9xtqwdhxkhw/edit?usp=sharing"",""กาญจนบุรี!I138"")"),30)</f>
        <v>30</v>
      </c>
      <c r="J213" s="205">
        <f ca="1">IFERROR(__xludf.DUMMYFUNCTION("IMPORTRANGE(""https://docs.google.com/spreadsheets/d/1SX6NBoVAgQJ6U1MVXOaj8PK2l7WJ3RER9xtqwdhxkhw/edit?usp=sharing"",""กาญจนบุรี!J138"")"),0)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IFERROR(__xludf.DUMMYFUNCTION("IMPORTRANGE(""https://docs.google.com/spreadsheets/d/1SX6NBoVAgQJ6U1MVXOaj8PK2l7WJ3RER9xtqwdhxkhw/edit?usp=sharing"",""กาญจนบุรี!I140"")"),0)</f>
        <v>0</v>
      </c>
      <c r="J215" s="205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IFERROR(__xludf.DUMMYFUNCTION("IMPORTRANGE(""https://docs.google.com/spreadsheets/d/1SX6NBoVAgQJ6U1MVXOaj8PK2l7WJ3RER9xtqwdhxkhw/edit?usp=sharing"",""กาญจนบุรี!I141"")"),1)</f>
        <v>1</v>
      </c>
      <c r="J216" s="205">
        <f ca="1">IFERROR(__xludf.DUMMYFUNCTION("IMPORTRANGE(""https://docs.google.com/spreadsheets/d/1SX6NBoVAgQJ6U1MVXOaj8PK2l7WJ3RER9xtqwdhxkhw/edit?usp=sharing"",""กาญจนบุรี!J141"")"),0)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14910</v>
      </c>
      <c r="O220" s="151">
        <f t="shared" ref="O220:O222" ca="1" si="73">IF(L220&gt;0,N220*100/L220,0)</f>
        <v>73.775358733300351</v>
      </c>
      <c r="P220" s="151">
        <f t="shared" ref="P220:P222" ca="1" si="74">IF(M220&gt;0,N220*100/M220,0)</f>
        <v>73.775358733300351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14910</v>
      </c>
      <c r="O222" s="156">
        <f t="shared" ca="1" si="73"/>
        <v>73.775358733300351</v>
      </c>
      <c r="P222" s="156">
        <f t="shared" ca="1" si="74"/>
        <v>73.775358733300351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IFERROR(__xludf.DUMMYFUNCTION("IMPORTRANGE(""https://docs.google.com/spreadsheets/d/1Yj_ptqi66GCucihVvJfMjLAmec39IyEx_6qawtMGysU/edit?usp=sharing"",""สบก!BS59"")"),20210)</f>
        <v>20210</v>
      </c>
      <c r="N224" s="170">
        <f ca="1">IFERROR(__xludf.DUMMYFUNCTION("IMPORTRANGE(""https://docs.google.com/spreadsheets/d/1Yj_ptqi66GCucihVvJfMjLAmec39IyEx_6qawtMGysU/edit?usp=sharing"",""สบก!BT59"")"),14910)</f>
        <v>14910</v>
      </c>
      <c r="O224" s="170">
        <f ca="1">IF(L224&gt;0,N224*100/L224,0)</f>
        <v>73.775358733300351</v>
      </c>
      <c r="P224" s="170">
        <f ca="1">IF(M224&gt;0,N224*100/M224,0)</f>
        <v>73.775358733300351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IFERROR(__xludf.DUMMYFUNCTION("IMPORTRANGE(""https://docs.google.com/spreadsheets/d/1Yj_ptqi66GCucihVvJfMjLAmec39IyEx_6qawtMGysU/edit?usp=sharing"",""สบก!BO59"")"),0)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IFERROR(__xludf.DUMMYFUNCTION("IMPORTRANGE(""https://docs.google.com/spreadsheets/d/1Yj_ptqi66GCucihVvJfMjLAmec39IyEx_6qawtMGysU/edit?usp=sharing"",""สบก!BP59"")"),20210)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IFERROR(__xludf.DUMMYFUNCTION("IMPORTRANGE(""https://docs.google.com/spreadsheets/d/1SX6NBoVAgQJ6U1MVXOaj8PK2l7WJ3RER9xtqwdhxkhw/edit?usp=sharing"",""กาญจนบุรี!J151"")"),0)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IFERROR(__xludf.DUMMYFUNCTION("IMPORTRANGE(""https://docs.google.com/spreadsheets/d/1SX6NBoVAgQJ6U1MVXOaj8PK2l7WJ3RER9xtqwdhxkhw/edit?usp=sharing"",""กาญจนบุรี!J152"")"),1)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IFERROR(__xludf.DUMMYFUNCTION("IMPORTRANGE(""https://docs.google.com/spreadsheets/d/1SX6NBoVAgQJ6U1MVXOaj8PK2l7WJ3RER9xtqwdhxkhw/edit?usp=sharing"",""กาญจนบุรี!J153"")"),1)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IFERROR(__xludf.DUMMYFUNCTION("IMPORTRANGE(""https://docs.google.com/spreadsheets/d/1SX6NBoVAgQJ6U1MVXOaj8PK2l7WJ3RER9xtqwdhxkhw/edit?usp=sharing"",""กาญจนบุรี!J154"")"),1)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IFERROR(__xludf.DUMMYFUNCTION("IMPORTRANGE(""https://docs.google.com/spreadsheets/d/1SX6NBoVAgQJ6U1MVXOaj8PK2l7WJ3RER9xtqwdhxkhw/edit?usp=sharing"",""กาญจนบุรี!I155"")"),14)</f>
        <v>14</v>
      </c>
      <c r="J235" s="190">
        <f ca="1">IFERROR(__xludf.DUMMYFUNCTION("IMPORTRANGE(""https://docs.google.com/spreadsheets/d/1SX6NBoVAgQJ6U1MVXOaj8PK2l7WJ3RER9xtqwdhxkhw/edit?usp=sharing"",""กาญจนบุรี!J155"")"),14)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IFERROR(__xludf.DUMMYFUNCTION("IMPORTRANGE(""https://docs.google.com/spreadsheets/d/1SX6NBoVAgQJ6U1MVXOaj8PK2l7WJ3RER9xtqwdhxkhw/edit?usp=sharing"",""กาญจนบุรี!J156"")"),0)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IFERROR(__xludf.DUMMYFUNCTION("IMPORTRANGE(""https://docs.google.com/spreadsheets/d/1SX6NBoVAgQJ6U1MVXOaj8PK2l7WJ3RER9xtqwdhxkhw/edit?usp=sharing"",""กาญจนบุรี!J157"")"),0)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IFERROR(__xludf.DUMMYFUNCTION("IMPORTRANGE(""https://docs.google.com/spreadsheets/d/1SX6NBoVAgQJ6U1MVXOaj8PK2l7WJ3RER9xtqwdhxkhw/edit?usp=sharing"",""กาญจนบุรี!J159"")"),"")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IFERROR(__xludf.DUMMYFUNCTION("IMPORTRANGE(""https://docs.google.com/spreadsheets/d/1SX6NBoVAgQJ6U1MVXOaj8PK2l7WJ3RER9xtqwdhxkhw/edit?usp=sharing"",""กาญจนบุรี!J161"")"),0)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IFERROR(__xludf.DUMMYFUNCTION("IMPORTRANGE(""https://docs.google.com/spreadsheets/d/1SX6NBoVAgQJ6U1MVXOaj8PK2l7WJ3RER9xtqwdhxkhw/edit?usp=sharing"",""กาญจนบุรี!J162"")"),0)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IFERROR(__xludf.DUMMYFUNCTION("IMPORTRANGE(""https://docs.google.com/spreadsheets/d/1SX6NBoVAgQJ6U1MVXOaj8PK2l7WJ3RER9xtqwdhxkhw/edit?usp=sharing"",""กาญจนบุรี!J163"")"),0)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IFERROR(__xludf.DUMMYFUNCTION("IMPORTRANGE(""https://docs.google.com/spreadsheets/d/1SX6NBoVAgQJ6U1MVXOaj8PK2l7WJ3RER9xtqwdhxkhw/edit?usp=sharing"",""กาญจนบุรี!I164"")"),0)</f>
        <v>0</v>
      </c>
      <c r="J244" s="189">
        <f ca="1">IFERROR(__xludf.DUMMYFUNCTION("IMPORTRANGE(""https://docs.google.com/spreadsheets/d/1SX6NBoVAgQJ6U1MVXOaj8PK2l7WJ3RER9xtqwdhxkhw/edit?usp=sharing"",""กาญจนบุรี!J164"")"),0)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IFERROR(__xludf.DUMMYFUNCTION("IMPORTRANGE(""https://docs.google.com/spreadsheets/d/1SX6NBoVAgQJ6U1MVXOaj8PK2l7WJ3RER9xtqwdhxkhw/edit?usp=sharing"",""กาญจนบุรี!J165"")"),0)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IFERROR(__xludf.DUMMYFUNCTION("IMPORTRANGE(""https://docs.google.com/spreadsheets/d/1SX6NBoVAgQJ6U1MVXOaj8PK2l7WJ3RER9xtqwdhxkhw/edit?usp=sharing"",""กาญจนบุรี!I169"")"),20)</f>
        <v>20</v>
      </c>
      <c r="J249" s="316">
        <f ca="1">IFERROR(__xludf.DUMMYFUNCTION("IMPORTRANGE(""https://docs.google.com/spreadsheets/d/1SX6NBoVAgQJ6U1MVXOaj8PK2l7WJ3RER9xtqwdhxkhw/edit?usp=sharing"",""กาญจนบุรี!J169"")"),20)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13480</v>
      </c>
      <c r="O250" s="151">
        <f t="shared" ref="O250:O252" ca="1" si="78">IF(L250&gt;0,N250*100/L250,0)</f>
        <v>18.879551820728292</v>
      </c>
      <c r="P250" s="151">
        <f t="shared" ref="P250:P252" ca="1" si="79">IF(M250&gt;0,N250*100/M250,0)</f>
        <v>36.432432432432435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13480</v>
      </c>
      <c r="O252" s="156">
        <f t="shared" ca="1" si="78"/>
        <v>18.879551820728292</v>
      </c>
      <c r="P252" s="156">
        <f t="shared" ca="1" si="79"/>
        <v>36.432432432432435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IFERROR(__xludf.DUMMYFUNCTION("IMPORTRANGE(""https://docs.google.com/spreadsheets/d/1Yj_ptqi66GCucihVvJfMjLAmec39IyEx_6qawtMGysU/edit?usp=sharing"",""สบก!CB59"")"),37000)</f>
        <v>37000</v>
      </c>
      <c r="N254" s="170">
        <f ca="1">IFERROR(__xludf.DUMMYFUNCTION("IMPORTRANGE(""https://docs.google.com/spreadsheets/d/1Yj_ptqi66GCucihVvJfMjLAmec39IyEx_6qawtMGysU/edit?usp=sharing"",""สบก!CC59"")"),13480)</f>
        <v>13480</v>
      </c>
      <c r="O254" s="170">
        <f ca="1">IF(L254&gt;0,N254*100/L254,0)</f>
        <v>18.879551820728292</v>
      </c>
      <c r="P254" s="170">
        <f ca="1">IF(M254&gt;0,N254*100/M254,0)</f>
        <v>36.432432432432435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IFERROR(__xludf.DUMMYFUNCTION("IMPORTRANGE(""https://docs.google.com/spreadsheets/d/1Yj_ptqi66GCucihVvJfMjLAmec39IyEx_6qawtMGysU/edit?usp=sharing"",""สบก!BX59"")"),0)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IFERROR(__xludf.DUMMYFUNCTION("IMPORTRANGE(""https://docs.google.com/spreadsheets/d/1Yj_ptqi66GCucihVvJfMjLAmec39IyEx_6qawtMGysU/edit?usp=sharing"",""สบก!BY59"")"),71400)</f>
        <v>71400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IFERROR(__xludf.DUMMYFUNCTION("IMPORTRANGE(""https://docs.google.com/spreadsheets/d/1SX6NBoVAgQJ6U1MVXOaj8PK2l7WJ3RER9xtqwdhxkhw/edit?usp=sharing"",""กาญจนบุรี!J175"")"),0)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IFERROR(__xludf.DUMMYFUNCTION("IMPORTRANGE(""https://docs.google.com/spreadsheets/d/1SX6NBoVAgQJ6U1MVXOaj8PK2l7WJ3RER9xtqwdhxkhw/edit?usp=sharing"",""กาญจนบุรี!J176"")"),1)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IFERROR(__xludf.DUMMYFUNCTION("IMPORTRANGE(""https://docs.google.com/spreadsheets/d/1SX6NBoVAgQJ6U1MVXOaj8PK2l7WJ3RER9xtqwdhxkhw/edit?usp=sharing"",""กาญจนบุรี!J177"")"),1)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IFERROR(__xludf.DUMMYFUNCTION("IMPORTRANGE(""https://docs.google.com/spreadsheets/d/1SX6NBoVAgQJ6U1MVXOaj8PK2l7WJ3RER9xtqwdhxkhw/edit?usp=sharing"",""กาญจนบุรี!J178"")"),1)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IFERROR(__xludf.DUMMYFUNCTION("IMPORTRANGE(""https://docs.google.com/spreadsheets/d/1SX6NBoVAgQJ6U1MVXOaj8PK2l7WJ3RER9xtqwdhxkhw/edit?usp=sharing"",""กาญจนบุรี!I179"")"),1)</f>
        <v>1</v>
      </c>
      <c r="J264" s="190">
        <f ca="1">IFERROR(__xludf.DUMMYFUNCTION("IMPORTRANGE(""https://docs.google.com/spreadsheets/d/1SX6NBoVAgQJ6U1MVXOaj8PK2l7WJ3RER9xtqwdhxkhw/edit?usp=sharing"",""กาญจนบุรี!J179"")"),1)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IFERROR(__xludf.DUMMYFUNCTION("IMPORTRANGE(""https://docs.google.com/spreadsheets/d/1SX6NBoVAgQJ6U1MVXOaj8PK2l7WJ3RER9xtqwdhxkhw/edit?usp=sharing"",""กาญจนบุรี!I180"")"),20)</f>
        <v>20</v>
      </c>
      <c r="J265" s="190">
        <f ca="1">IFERROR(__xludf.DUMMYFUNCTION("IMPORTRANGE(""https://docs.google.com/spreadsheets/d/1SX6NBoVAgQJ6U1MVXOaj8PK2l7WJ3RER9xtqwdhxkhw/edit?usp=sharing"",""กาญจนบุรี!J180"")"),20)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IFERROR(__xludf.DUMMYFUNCTION("IMPORTRANGE(""https://docs.google.com/spreadsheets/d/1SX6NBoVAgQJ6U1MVXOaj8PK2l7WJ3RER9xtqwdhxkhw/edit?usp=sharing"",""กาญจนบุรี!I181"")"),20)</f>
        <v>20</v>
      </c>
      <c r="J266" s="190">
        <f ca="1">IFERROR(__xludf.DUMMYFUNCTION("IMPORTRANGE(""https://docs.google.com/spreadsheets/d/1SX6NBoVAgQJ6U1MVXOaj8PK2l7WJ3RER9xtqwdhxkhw/edit?usp=sharing"",""กาญจนบุรี!J181"")"),0)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IFERROR(__xludf.DUMMYFUNCTION("IMPORTRANGE(""https://docs.google.com/spreadsheets/d/1SX6NBoVAgQJ6U1MVXOaj8PK2l7WJ3RER9xtqwdhxkhw/edit?usp=sharing"",""กาญจนบุรี!I182"")"),1)</f>
        <v>1</v>
      </c>
      <c r="J267" s="190">
        <f ca="1">IFERROR(__xludf.DUMMYFUNCTION("IMPORTRANGE(""https://docs.google.com/spreadsheets/d/1SX6NBoVAgQJ6U1MVXOaj8PK2l7WJ3RER9xtqwdhxkhw/edit?usp=sharing"",""กาญจนบุรี!J182"")"),1)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IFERROR(__xludf.DUMMYFUNCTION("IMPORTRANGE(""https://docs.google.com/spreadsheets/d/1SX6NBoVAgQJ6U1MVXOaj8PK2l7WJ3RER9xtqwdhxkhw/edit?usp=sharing"",""กาญจนบุรี!J183"")"),0)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IFERROR(__xludf.DUMMYFUNCTION("IMPORTRANGE(""https://docs.google.com/spreadsheets/d/1SX6NBoVAgQJ6U1MVXOaj8PK2l7WJ3RER9xtqwdhxkhw/edit?usp=sharing"",""กาญจนบุรี!J184"")"),0)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IFERROR(__xludf.DUMMYFUNCTION("IMPORTRANGE(""https://docs.google.com/spreadsheets/d/1SX6NBoVAgQJ6U1MVXOaj8PK2l7WJ3RER9xtqwdhxkhw/edit?usp=sharing"",""กาญจนบุรี!I185"")"),20)</f>
        <v>20</v>
      </c>
      <c r="J270" s="316">
        <f ca="1">IFERROR(__xludf.DUMMYFUNCTION("IMPORTRANGE(""https://docs.google.com/spreadsheets/d/1SX6NBoVAgQJ6U1MVXOaj8PK2l7WJ3RER9xtqwdhxkhw/edit?usp=sharing"",""กาญจนบุรี!J185"")"),20)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88000</v>
      </c>
      <c r="N271" s="152">
        <f t="shared" ca="1" si="83"/>
        <v>57670</v>
      </c>
      <c r="O271" s="151">
        <f t="shared" ref="O271:O273" ca="1" si="84">IF(L271&gt;0,N271*100/L271,0)</f>
        <v>31.410675381263616</v>
      </c>
      <c r="P271" s="151">
        <f t="shared" ref="P271:P273" ca="1" si="85">IF(M271&gt;0,N271*100/M271,0)</f>
        <v>65.534090909090907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88000</v>
      </c>
      <c r="N273" s="157">
        <f t="shared" ca="1" si="87"/>
        <v>57670</v>
      </c>
      <c r="O273" s="156">
        <f t="shared" ca="1" si="84"/>
        <v>31.410675381263616</v>
      </c>
      <c r="P273" s="156">
        <f t="shared" ca="1" si="85"/>
        <v>65.534090909090907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IFERROR(__xludf.DUMMYFUNCTION("IMPORTRANGE(""https://docs.google.com/spreadsheets/d/1Yj_ptqi66GCucihVvJfMjLAmec39IyEx_6qawtMGysU/edit?usp=sharing"",""สบก!CK59"")"),88000)</f>
        <v>88000</v>
      </c>
      <c r="N275" s="170">
        <f ca="1">IFERROR(__xludf.DUMMYFUNCTION("IMPORTRANGE(""https://docs.google.com/spreadsheets/d/1Yj_ptqi66GCucihVvJfMjLAmec39IyEx_6qawtMGysU/edit?usp=sharing"",""สบก!CL59"")"),57670)</f>
        <v>57670</v>
      </c>
      <c r="O275" s="170">
        <f ca="1">IF(L275&gt;0,N275*100/L275,0)</f>
        <v>31.410675381263616</v>
      </c>
      <c r="P275" s="170">
        <f ca="1">IF(M275&gt;0,N275*100/M275,0)</f>
        <v>65.534090909090907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IFERROR(__xludf.DUMMYFUNCTION("IMPORTRANGE(""https://docs.google.com/spreadsheets/d/1Yj_ptqi66GCucihVvJfMjLAmec39IyEx_6qawtMGysU/edit?usp=sharing"",""สบก!CG59"")"),0)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IFERROR(__xludf.DUMMYFUNCTION("IMPORTRANGE(""https://docs.google.com/spreadsheets/d/1Yj_ptqi66GCucihVvJfMjLAmec39IyEx_6qawtMGysU/edit?usp=sharing"",""สบก!CH59"")"),183600)</f>
        <v>183600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IFERROR(__xludf.DUMMYFUNCTION("IMPORTRANGE(""https://docs.google.com/spreadsheets/d/1SX6NBoVAgQJ6U1MVXOaj8PK2l7WJ3RER9xtqwdhxkhw/edit?usp=sharing"",""กาญจนบุรี!J191"")"),0)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IFERROR(__xludf.DUMMYFUNCTION("IMPORTRANGE(""https://docs.google.com/spreadsheets/d/1SX6NBoVAgQJ6U1MVXOaj8PK2l7WJ3RER9xtqwdhxkhw/edit?usp=sharing"",""กาญจนบุรี!J192"")"),1)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IFERROR(__xludf.DUMMYFUNCTION("IMPORTRANGE(""https://docs.google.com/spreadsheets/d/1SX6NBoVAgQJ6U1MVXOaj8PK2l7WJ3RER9xtqwdhxkhw/edit?usp=sharing"",""กาญจนบุรี!J193"")"),1)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IFERROR(__xludf.DUMMYFUNCTION("IMPORTRANGE(""https://docs.google.com/spreadsheets/d/1SX6NBoVAgQJ6U1MVXOaj8PK2l7WJ3RER9xtqwdhxkhw/edit?usp=sharing"",""กาญจนบุรี!J194"")"),1)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IFERROR(__xludf.DUMMYFUNCTION("IMPORTRANGE(""https://docs.google.com/spreadsheets/d/1SX6NBoVAgQJ6U1MVXOaj8PK2l7WJ3RER9xtqwdhxkhw/edit?usp=sharing"",""กาญจนบุรี!I195"")"),20)</f>
        <v>20</v>
      </c>
      <c r="J285" s="190">
        <f ca="1">IFERROR(__xludf.DUMMYFUNCTION("IMPORTRANGE(""https://docs.google.com/spreadsheets/d/1SX6NBoVAgQJ6U1MVXOaj8PK2l7WJ3RER9xtqwdhxkhw/edit?usp=sharing"",""กาญจนบุรี!J195"")"),20)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IFERROR(__xludf.DUMMYFUNCTION("IMPORTRANGE(""https://docs.google.com/spreadsheets/d/1SX6NBoVAgQJ6U1MVXOaj8PK2l7WJ3RER9xtqwdhxkhw/edit?usp=sharing"",""กาญจนบุรี!J196"")"),0)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IFERROR(__xludf.DUMMYFUNCTION("IMPORTRANGE(""https://docs.google.com/spreadsheets/d/1SX6NBoVAgQJ6U1MVXOaj8PK2l7WJ3RER9xtqwdhxkhw/edit?usp=sharing"",""กาญจนบุรี!J197"")"),0)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IFERROR(__xludf.DUMMYFUNCTION("IMPORTRANGE(""https://docs.google.com/spreadsheets/d/1SX6NBoVAgQJ6U1MVXOaj8PK2l7WJ3RER9xtqwdhxkhw/edit?usp=sharing"",""กาญจนบุรี!I199"")"),30)</f>
        <v>30</v>
      </c>
      <c r="J289" s="316">
        <f ca="1">IFERROR(__xludf.DUMMYFUNCTION("IMPORTRANGE(""https://docs.google.com/spreadsheets/d/1SX6NBoVAgQJ6U1MVXOaj8PK2l7WJ3RER9xtqwdhxkhw/edit?usp=sharing"",""กาญจนบุรี!J199"")"),30)</f>
        <v>30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217860</v>
      </c>
      <c r="M290" s="152">
        <f t="shared" ca="1" si="88"/>
        <v>168080</v>
      </c>
      <c r="N290" s="152">
        <f t="shared" ca="1" si="88"/>
        <v>149710</v>
      </c>
      <c r="O290" s="151">
        <f t="shared" ref="O290:O292" ca="1" si="89">IF(L290&gt;0,N290*100/L290,0)</f>
        <v>68.71844303681263</v>
      </c>
      <c r="P290" s="151">
        <f t="shared" ref="P290:P292" ca="1" si="90">IF(M290&gt;0,N290*100/M290,0)</f>
        <v>89.070680628272257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217860</v>
      </c>
      <c r="M292" s="157">
        <f t="shared" ca="1" si="92"/>
        <v>168080</v>
      </c>
      <c r="N292" s="157">
        <f t="shared" ca="1" si="92"/>
        <v>149710</v>
      </c>
      <c r="O292" s="156">
        <f t="shared" ca="1" si="89"/>
        <v>68.71844303681263</v>
      </c>
      <c r="P292" s="156">
        <f t="shared" ca="1" si="90"/>
        <v>89.070680628272257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95360</v>
      </c>
      <c r="M294" s="169">
        <f ca="1">IFERROR(__xludf.DUMMYFUNCTION("IMPORTRANGE(""https://docs.google.com/spreadsheets/d/1Yj_ptqi66GCucihVvJfMjLAmec39IyEx_6qawtMGysU/edit?usp=sharing"",""สบก!CT59"")"),45580)</f>
        <v>45580</v>
      </c>
      <c r="N294" s="170">
        <f ca="1">IFERROR(__xludf.DUMMYFUNCTION("IMPORTRANGE(""https://docs.google.com/spreadsheets/d/1Yj_ptqi66GCucihVvJfMjLAmec39IyEx_6qawtMGysU/edit?usp=sharing"",""สบก!CU59"")"),27210)</f>
        <v>27210</v>
      </c>
      <c r="O294" s="170">
        <f ca="1">IF(L294&gt;0,N294*100/L294,0)</f>
        <v>28.533976510067113</v>
      </c>
      <c r="P294" s="170">
        <f ca="1">IF(M294&gt;0,N294*100/M294,0)</f>
        <v>59.697235629662131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IFERROR(__xludf.DUMMYFUNCTION("IMPORTRANGE(""https://docs.google.com/spreadsheets/d/1Yj_ptqi66GCucihVvJfMjLAmec39IyEx_6qawtMGysU/edit?usp=sharing"",""สบก!CP59"")"),0)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IFERROR(__xludf.DUMMYFUNCTION("IMPORTRANGE(""https://docs.google.com/spreadsheets/d/1Yj_ptqi66GCucihVvJfMjLAmec39IyEx_6qawtMGysU/edit?usp=sharing"",""สบก!CQ59"")"),95360)</f>
        <v>95360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IFERROR(__xludf.DUMMYFUNCTION("IMPORTRANGE(""https://docs.google.com/spreadsheets/d/1SX6NBoVAgQJ6U1MVXOaj8PK2l7WJ3RER9xtqwdhxkhw/edit?usp=sharing"",""กาญจนบุรี!J206"")"),1)</f>
        <v>1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IFERROR(__xludf.DUMMYFUNCTION("IMPORTRANGE(""https://docs.google.com/spreadsheets/d/1SX6NBoVAgQJ6U1MVXOaj8PK2l7WJ3RER9xtqwdhxkhw/edit?usp=sharing"",""กาญจนบุรี!J207"")"),1)</f>
        <v>1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IFERROR(__xludf.DUMMYFUNCTION("IMPORTRANGE(""https://docs.google.com/spreadsheets/d/1SX6NBoVAgQJ6U1MVXOaj8PK2l7WJ3RER9xtqwdhxkhw/edit?usp=sharing"",""กาญจนบุรี!J208"")"),1)</f>
        <v>1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IFERROR(__xludf.DUMMYFUNCTION("IMPORTRANGE(""https://docs.google.com/spreadsheets/d/1SX6NBoVAgQJ6U1MVXOaj8PK2l7WJ3RER9xtqwdhxkhw/edit?usp=sharing"",""กาญจนบุรี!I209"")"),30)</f>
        <v>30</v>
      </c>
      <c r="J304" s="205">
        <f ca="1">IFERROR(__xludf.DUMMYFUNCTION("IMPORTRANGE(""https://docs.google.com/spreadsheets/d/1SX6NBoVAgQJ6U1MVXOaj8PK2l7WJ3RER9xtqwdhxkhw/edit?usp=sharing"",""กาญจนบุรี!J209"")"),30)</f>
        <v>30</v>
      </c>
      <c r="K304" s="225">
        <f ca="1">IF(I304&gt;0,J304*100/I304,0)</f>
        <v>100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IFERROR(__xludf.DUMMYFUNCTION("IMPORTRANGE(""https://docs.google.com/spreadsheets/d/1SX6NBoVAgQJ6U1MVXOaj8PK2l7WJ3RER9xtqwdhxkhw/edit?usp=sharing"",""กาญจนบุรี!I211"")"),30)</f>
        <v>30</v>
      </c>
      <c r="J306" s="205">
        <f ca="1">IFERROR(__xludf.DUMMYFUNCTION("IMPORTRANGE(""https://docs.google.com/spreadsheets/d/1SX6NBoVAgQJ6U1MVXOaj8PK2l7WJ3RER9xtqwdhxkhw/edit?usp=sharing"",""กาญจนบุรี!J211"")"),0)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IFERROR(__xludf.DUMMYFUNCTION("IMPORTRANGE(""https://docs.google.com/spreadsheets/d/1SX6NBoVAgQJ6U1MVXOaj8PK2l7WJ3RER9xtqwdhxkhw/edit?usp=sharing"",""กาญจนบุรี!J213"")"),0)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IFERROR(__xludf.DUMMYFUNCTION("IMPORTRANGE(""https://docs.google.com/spreadsheets/d/1SX6NBoVAgQJ6U1MVXOaj8PK2l7WJ3RER9xtqwdhxkhw/edit?usp=sharing"",""กาญจนบุรี!I214"")"),3)</f>
        <v>3</v>
      </c>
      <c r="J309" s="333">
        <f ca="1">IFERROR(__xludf.DUMMYFUNCTION("IMPORTRANGE(""https://docs.google.com/spreadsheets/d/1SX6NBoVAgQJ6U1MVXOaj8PK2l7WJ3RER9xtqwdhxkhw/edit?usp=sharing"",""กาญจนบุรี!J214"")"),0)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264600</v>
      </c>
      <c r="M310" s="152">
        <f t="shared" ca="1" si="93"/>
        <v>132300</v>
      </c>
      <c r="N310" s="152">
        <f t="shared" ca="1" si="93"/>
        <v>79570</v>
      </c>
      <c r="O310" s="151">
        <f t="shared" ref="O310:O312" ca="1" si="94">IF(L310&gt;0,N310*100/L310,0)</f>
        <v>30.071806500377928</v>
      </c>
      <c r="P310" s="151">
        <f t="shared" ref="P310:P312" ca="1" si="95">IF(M310&gt;0,N310*100/M310,0)</f>
        <v>60.143613000755856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264600</v>
      </c>
      <c r="M312" s="157">
        <f t="shared" ca="1" si="97"/>
        <v>132300</v>
      </c>
      <c r="N312" s="157">
        <f t="shared" ca="1" si="97"/>
        <v>79570</v>
      </c>
      <c r="O312" s="156">
        <f t="shared" ca="1" si="94"/>
        <v>30.071806500377928</v>
      </c>
      <c r="P312" s="156">
        <f t="shared" ca="1" si="95"/>
        <v>60.143613000755856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264600</v>
      </c>
      <c r="M314" s="169">
        <f ca="1">IFERROR(__xludf.DUMMYFUNCTION("IMPORTRANGE(""https://docs.google.com/spreadsheets/d/1Yj_ptqi66GCucihVvJfMjLAmec39IyEx_6qawtMGysU/edit?usp=sharing"",""สบก!DC59"")"),132300)</f>
        <v>132300</v>
      </c>
      <c r="N314" s="170">
        <f ca="1">IFERROR(__xludf.DUMMYFUNCTION("IMPORTRANGE(""https://docs.google.com/spreadsheets/d/1Yj_ptqi66GCucihVvJfMjLAmec39IyEx_6qawtMGysU/edit?usp=sharing"",""สบก!DD59"")"),79570)</f>
        <v>79570</v>
      </c>
      <c r="O314" s="170">
        <f ca="1">IF(L314&gt;0,N314*100/L314,0)</f>
        <v>30.071806500377928</v>
      </c>
      <c r="P314" s="170">
        <f ca="1">IF(M314&gt;0,N314*100/M314,0)</f>
        <v>60.143613000755856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IFERROR(__xludf.DUMMYFUNCTION("IMPORTRANGE(""https://docs.google.com/spreadsheets/d/1Yj_ptqi66GCucihVvJfMjLAmec39IyEx_6qawtMGysU/edit?usp=sharing"",""สบก!CY59"")"),0)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IFERROR(__xludf.DUMMYFUNCTION("IMPORTRANGE(""https://docs.google.com/spreadsheets/d/1Yj_ptqi66GCucihVvJfMjLAmec39IyEx_6qawtMGysU/edit?usp=sharing"",""สบก!CZ59"")"),264600)</f>
        <v>264600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IFERROR(__xludf.DUMMYFUNCTION("IMPORTRANGE(""https://docs.google.com/spreadsheets/d/1SX6NBoVAgQJ6U1MVXOaj8PK2l7WJ3RER9xtqwdhxkhw/edit?usp=sharing"",""กาญจนบุรี!J221"")"),1)</f>
        <v>1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IFERROR(__xludf.DUMMYFUNCTION("IMPORTRANGE(""https://docs.google.com/spreadsheets/d/1SX6NBoVAgQJ6U1MVXOaj8PK2l7WJ3RER9xtqwdhxkhw/edit?usp=sharing"",""กาญจนบุรี!J222"")"),1)</f>
        <v>1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IFERROR(__xludf.DUMMYFUNCTION("IMPORTRANGE(""https://docs.google.com/spreadsheets/d/1SX6NBoVAgQJ6U1MVXOaj8PK2l7WJ3RER9xtqwdhxkhw/edit?usp=sharing"",""กาญจนบุรี!J223"")"),1)</f>
        <v>1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IFERROR(__xludf.DUMMYFUNCTION("IMPORTRANGE(""https://docs.google.com/spreadsheets/d/1SX6NBoVAgQJ6U1MVXOaj8PK2l7WJ3RER9xtqwdhxkhw/edit?usp=sharing"",""กาญจนบุรี!I224"")"),3)</f>
        <v>3</v>
      </c>
      <c r="J324" s="205">
        <f ca="1">IFERROR(__xludf.DUMMYFUNCTION("IMPORTRANGE(""https://docs.google.com/spreadsheets/d/1SX6NBoVAgQJ6U1MVXOaj8PK2l7WJ3RER9xtqwdhxkhw/edit?usp=sharing"",""กาญจนบุรี!J224"")"),0)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IFERROR(__xludf.DUMMYFUNCTION("IMPORTRANGE(""https://docs.google.com/spreadsheets/d/1SX6NBoVAgQJ6U1MVXOaj8PK2l7WJ3RER9xtqwdhxkhw/edit?usp=sharing"",""กาญจนบุรี!J226"")"),0)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IFERROR(__xludf.DUMMYFUNCTION("IMPORTRANGE(""https://docs.google.com/spreadsheets/d/1SX6NBoVAgQJ6U1MVXOaj8PK2l7WJ3RER9xtqwdhxkhw/edit?usp=sharing"",""กาญจนบุรี!I228"")"),220)</f>
        <v>220</v>
      </c>
      <c r="J328" s="339">
        <f ca="1">IFERROR(__xludf.DUMMYFUNCTION("IMPORTRANGE(""https://docs.google.com/spreadsheets/d/1SX6NBoVAgQJ6U1MVXOaj8PK2l7WJ3RER9xtqwdhxkhw/edit?usp=sharing"",""กาญจนบุรี!J228"")"),5)</f>
        <v>5</v>
      </c>
      <c r="K328" s="317">
        <f ca="1">IF(I328&gt;0,J328*100/I328,0)</f>
        <v>2.2727272727272729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1010640</v>
      </c>
      <c r="M329" s="152">
        <f t="shared" ca="1" si="98"/>
        <v>537160</v>
      </c>
      <c r="N329" s="152">
        <f t="shared" ca="1" si="98"/>
        <v>358424</v>
      </c>
      <c r="O329" s="151">
        <f t="shared" ref="O329:O331" ca="1" si="99">IF(L329&gt;0,N329*100/L329,0)</f>
        <v>35.465051848333729</v>
      </c>
      <c r="P329" s="151">
        <f t="shared" ref="P329:P331" ca="1" si="100">IF(M329&gt;0,N329*100/M329,0)</f>
        <v>66.725742795442699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1010640</v>
      </c>
      <c r="M331" s="157">
        <f t="shared" ca="1" si="102"/>
        <v>537160</v>
      </c>
      <c r="N331" s="157">
        <f t="shared" ca="1" si="102"/>
        <v>358424</v>
      </c>
      <c r="O331" s="156">
        <f t="shared" ca="1" si="99"/>
        <v>35.465051848333729</v>
      </c>
      <c r="P331" s="156">
        <f t="shared" ca="1" si="100"/>
        <v>66.725742795442699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1010640</v>
      </c>
      <c r="M333" s="169">
        <f ca="1">IFERROR(__xludf.DUMMYFUNCTION("IMPORTRANGE(""https://docs.google.com/spreadsheets/d/1Yj_ptqi66GCucihVvJfMjLAmec39IyEx_6qawtMGysU/edit?usp=sharing"",""สบก!DL59"")"),537160)</f>
        <v>537160</v>
      </c>
      <c r="N333" s="170">
        <f ca="1">IFERROR(__xludf.DUMMYFUNCTION("IMPORTRANGE(""https://docs.google.com/spreadsheets/d/1Yj_ptqi66GCucihVvJfMjLAmec39IyEx_6qawtMGysU/edit?usp=sharing"",""สบก!DM59"")"),358424)</f>
        <v>358424</v>
      </c>
      <c r="O333" s="170">
        <f ca="1">IF(L333&gt;0,N333*100/L333,0)</f>
        <v>35.465051848333729</v>
      </c>
      <c r="P333" s="170">
        <f ca="1">IF(M333&gt;0,N333*100/M333,0)</f>
        <v>66.725742795442699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IFERROR(__xludf.DUMMYFUNCTION("IMPORTRANGE(""https://docs.google.com/spreadsheets/d/1Yj_ptqi66GCucihVvJfMjLAmec39IyEx_6qawtMGysU/edit?usp=sharing"",""สบก!DH59"")"),629200)</f>
        <v>629200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IFERROR(__xludf.DUMMYFUNCTION("IMPORTRANGE(""https://docs.google.com/spreadsheets/d/1Yj_ptqi66GCucihVvJfMjLAmec39IyEx_6qawtMGysU/edit?usp=sharing"",""สบก!DI59"")"),381440)</f>
        <v>381440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IFERROR(__xludf.DUMMYFUNCTION("IMPORTRANGE(""https://docs.google.com/spreadsheets/d/1SX6NBoVAgQJ6U1MVXOaj8PK2l7WJ3RER9xtqwdhxkhw/edit?usp=sharing"",""กาญจนบุรี!I234"")"),0)</f>
        <v>0</v>
      </c>
      <c r="J339" s="189">
        <f ca="1">IFERROR(__xludf.DUMMYFUNCTION("IMPORTRANGE(""https://docs.google.com/spreadsheets/d/1SX6NBoVAgQJ6U1MVXOaj8PK2l7WJ3RER9xtqwdhxkhw/edit?usp=sharing"",""กาญจนบุรี!J234"")"),44)</f>
        <v>44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IFERROR(__xludf.DUMMYFUNCTION("IMPORTRANGE(""https://docs.google.com/spreadsheets/d/1SX6NBoVAgQJ6U1MVXOaj8PK2l7WJ3RER9xtqwdhxkhw/edit?usp=sharing"",""กาญจนบุรี!I235"")"),1960)</f>
        <v>1960</v>
      </c>
      <c r="J340" s="189">
        <f ca="1">IFERROR(__xludf.DUMMYFUNCTION("IMPORTRANGE(""https://docs.google.com/spreadsheets/d/1SX6NBoVAgQJ6U1MVXOaj8PK2l7WJ3RER9xtqwdhxkhw/edit?usp=sharing"",""กาญจนบุรี!J235"")"),319.06)</f>
        <v>319.06</v>
      </c>
      <c r="K340" s="342">
        <f t="shared" ca="1" si="103"/>
        <v>16.278571428571428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IFERROR(__xludf.DUMMYFUNCTION("IMPORTRANGE(""https://docs.google.com/spreadsheets/d/1SX6NBoVAgQJ6U1MVXOaj8PK2l7WJ3RER9xtqwdhxkhw/edit?usp=sharing"",""กาญจนบุรี!I236"")"),220)</f>
        <v>220</v>
      </c>
      <c r="J341" s="189">
        <f ca="1">IFERROR(__xludf.DUMMYFUNCTION("IMPORTRANGE(""https://docs.google.com/spreadsheets/d/1SX6NBoVAgQJ6U1MVXOaj8PK2l7WJ3RER9xtqwdhxkhw/edit?usp=sharing"",""กาญจนบุรี!J236"")"),9)</f>
        <v>9</v>
      </c>
      <c r="K341" s="342">
        <f t="shared" ca="1" si="103"/>
        <v>4.0909090909090908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9">
        <f ca="1">IFERROR(__xludf.DUMMYFUNCTION("IMPORTRANGE(""https://docs.google.com/spreadsheets/d/1SX6NBoVAgQJ6U1MVXOaj8PK2l7WJ3RER9xtqwdhxkhw/edit?usp=sharing"",""กาญจนบุรี!J237"")"),117.8)</f>
        <v>117.8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IFERROR(__xludf.DUMMYFUNCTION("IMPORTRANGE(""https://docs.google.com/spreadsheets/d/1SX6NBoVAgQJ6U1MVXOaj8PK2l7WJ3RER9xtqwdhxkhw/edit?usp=sharing"",""กาญจนบุรี!I238"")"),220)</f>
        <v>220</v>
      </c>
      <c r="J343" s="189">
        <f ca="1">IFERROR(__xludf.DUMMYFUNCTION("IMPORTRANGE(""https://docs.google.com/spreadsheets/d/1SX6NBoVAgQJ6U1MVXOaj8PK2l7WJ3RER9xtqwdhxkhw/edit?usp=sharing"",""กาญจนบุรี!J238"")"),0)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9">
        <f ca="1">IFERROR(__xludf.DUMMYFUNCTION("IMPORTRANGE(""https://docs.google.com/spreadsheets/d/1SX6NBoVAgQJ6U1MVXOaj8PK2l7WJ3RER9xtqwdhxkhw/edit?usp=sharing"",""กาญจนบุรี!J239"")"),0)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IFERROR(__xludf.DUMMYFUNCTION("IMPORTRANGE(""https://docs.google.com/spreadsheets/d/1SX6NBoVAgQJ6U1MVXOaj8PK2l7WJ3RER9xtqwdhxkhw/edit?usp=sharing"",""กาญจนบุรี!I240"")"),220)</f>
        <v>220</v>
      </c>
      <c r="J345" s="189">
        <f ca="1">IFERROR(__xludf.DUMMYFUNCTION("IMPORTRANGE(""https://docs.google.com/spreadsheets/d/1SX6NBoVAgQJ6U1MVXOaj8PK2l7WJ3RER9xtqwdhxkhw/edit?usp=sharing"",""กาญจนบุรี!J240"")"),5)</f>
        <v>5</v>
      </c>
      <c r="K345" s="342">
        <f t="shared" ca="1" si="103"/>
        <v>2.2727272727272729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9">
        <f ca="1">IFERROR(__xludf.DUMMYFUNCTION("IMPORTRANGE(""https://docs.google.com/spreadsheets/d/1SX6NBoVAgQJ6U1MVXOaj8PK2l7WJ3RER9xtqwdhxkhw/edit?usp=sharing"",""กาญจนบุรี!J241"")"),41.75)</f>
        <v>41.75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IFERROR(__xludf.DUMMYFUNCTION("IMPORTRANGE(""https://docs.google.com/spreadsheets/d/1SX6NBoVAgQJ6U1MVXOaj8PK2l7WJ3RER9xtqwdhxkhw/edit?usp=sharing"",""กาญจนบุรี!L242"")"),3147638)</f>
        <v>3147638</v>
      </c>
      <c r="M347" s="358"/>
      <c r="N347" s="358">
        <f ca="1">IFERROR(__xludf.DUMMYFUNCTION("IMPORTRANGE(""https://docs.google.com/spreadsheets/d/1SX6NBoVAgQJ6U1MVXOaj8PK2l7WJ3RER9xtqwdhxkhw/edit?usp=sharing"",""กาญจนบุรี!M242"")"),657028.79)</f>
        <v>657028.79</v>
      </c>
      <c r="O347" s="358">
        <f ca="1">+IF(L347&gt;0,N347*100/L347,0)</f>
        <v>20.873708793704996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IFERROR(__xludf.DUMMYFUNCTION("IMPORTRANGE(""https://docs.google.com/spreadsheets/d/1SX6NBoVAgQJ6U1MVXOaj8PK2l7WJ3RER9xtqwdhxkhw/edit?usp=sharing"",""กาญจนบุรี!M244"")"),120567)</f>
        <v>120567</v>
      </c>
      <c r="O349" s="373">
        <f ca="1">+IF(L349&gt;0,N349*100/L349,0)</f>
        <v>31.66482823826032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IFERROR(__xludf.DUMMYFUNCTION("IMPORTRANGE(""https://docs.google.com/spreadsheets/d/1SX6NBoVAgQJ6U1MVXOaj8PK2l7WJ3RER9xtqwdhxkhw/edit?usp=sharing"",""กาญจนบุรี!L246"")"),0)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IFERROR(__xludf.DUMMYFUNCTION("IMPORTRANGE(""https://docs.google.com/spreadsheets/d/1SX6NBoVAgQJ6U1MVXOaj8PK2l7WJ3RER9xtqwdhxkhw/edit?usp=sharing"",""กาญจนบุรี!M246"")"),0)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IFERROR(__xludf.DUMMYFUNCTION("IMPORTRANGE(""https://docs.google.com/spreadsheets/d/1SX6NBoVAgQJ6U1MVXOaj8PK2l7WJ3RER9xtqwdhxkhw/edit?usp=sharing"",""กาญจนบุรี!L247"")"),380760)</f>
        <v>380760</v>
      </c>
      <c r="M352" s="167"/>
      <c r="N352" s="166">
        <f ca="1">IFERROR(__xludf.DUMMYFUNCTION("IMPORTRANGE(""https://docs.google.com/spreadsheets/d/1SX6NBoVAgQJ6U1MVXOaj8PK2l7WJ3RER9xtqwdhxkhw/edit?usp=sharing"",""กาญจนบุรี!M247"")"),120567)</f>
        <v>120567</v>
      </c>
      <c r="O352" s="167">
        <f t="shared" ca="1" si="105"/>
        <v>31.66482823826032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IFERROR(__xludf.DUMMYFUNCTION("IMPORTRANGE(""https://docs.google.com/spreadsheets/d/1SX6NBoVAgQJ6U1MVXOaj8PK2l7WJ3RER9xtqwdhxkhw/edit?usp=sharing"",""กาญจนบุรี!L248"")"),0)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IFERROR(__xludf.DUMMYFUNCTION("IMPORTRANGE(""https://docs.google.com/spreadsheets/d/1SX6NBoVAgQJ6U1MVXOaj8PK2l7WJ3RER9xtqwdhxkhw/edit?usp=sharing"",""กาญจนบุรี!M248"")"),0)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IFERROR(__xludf.DUMMYFUNCTION("IMPORTRANGE(""https://docs.google.com/spreadsheets/d/1SX6NBoVAgQJ6U1MVXOaj8PK2l7WJ3RER9xtqwdhxkhw/edit?usp=sharing"",""กาญจนบุรี!L249"")"),380760)</f>
        <v>380760</v>
      </c>
      <c r="M354" s="170"/>
      <c r="N354" s="169">
        <f ca="1">IFERROR(__xludf.DUMMYFUNCTION("IMPORTRANGE(""https://docs.google.com/spreadsheets/d/1SX6NBoVAgQJ6U1MVXOaj8PK2l7WJ3RER9xtqwdhxkhw/edit?usp=sharing"",""กาญจนบุรี!M249"")"),120567)</f>
        <v>120567</v>
      </c>
      <c r="O354" s="170">
        <f t="shared" ca="1" si="105"/>
        <v>31.66482823826032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IFERROR(__xludf.DUMMYFUNCTION("IMPORTRANGE(""https://docs.google.com/spreadsheets/d/1SX6NBoVAgQJ6U1MVXOaj8PK2l7WJ3RER9xtqwdhxkhw/edit?usp=sharing"",""กาญจนบุรี!M251"")"),33770)</f>
        <v>33770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IFERROR(__xludf.DUMMYFUNCTION("IMPORTRANGE(""https://docs.google.com/spreadsheets/d/1SX6NBoVAgQJ6U1MVXOaj8PK2l7WJ3RER9xtqwdhxkhw/edit?usp=sharing"",""กาญจนบุรี!M252"")"),40707)</f>
        <v>40707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IFERROR(__xludf.DUMMYFUNCTION("IMPORTRANGE(""https://docs.google.com/spreadsheets/d/1SX6NBoVAgQJ6U1MVXOaj8PK2l7WJ3RER9xtqwdhxkhw/edit?usp=sharing"",""กาญจนบุรี!M253"")"),13910)</f>
        <v>13910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IFERROR(__xludf.DUMMYFUNCTION("IMPORTRANGE(""https://docs.google.com/spreadsheets/d/1SX6NBoVAgQJ6U1MVXOaj8PK2l7WJ3RER9xtqwdhxkhw/edit?usp=sharing"",""กาญจนบุรี!J255"")"),0)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IFERROR(__xludf.DUMMYFUNCTION("IMPORTRANGE(""https://docs.google.com/spreadsheets/d/1SX6NBoVAgQJ6U1MVXOaj8PK2l7WJ3RER9xtqwdhxkhw/edit?usp=sharing"",""กาญจนบุรี!J256"")"),1)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IFERROR(__xludf.DUMMYFUNCTION("IMPORTRANGE(""https://docs.google.com/spreadsheets/d/1SX6NBoVAgQJ6U1MVXOaj8PK2l7WJ3RER9xtqwdhxkhw/edit?usp=sharing"",""กาญจนบุรี!J257"")"),1)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IFERROR(__xludf.DUMMYFUNCTION("IMPORTRANGE(""https://docs.google.com/spreadsheets/d/1SX6NBoVAgQJ6U1MVXOaj8PK2l7WJ3RER9xtqwdhxkhw/edit?usp=sharing"",""กาญจนบุรี!J258"")"),1)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IFERROR(__xludf.DUMMYFUNCTION("IMPORTRANGE(""https://docs.google.com/spreadsheets/d/1SX6NBoVAgQJ6U1MVXOaj8PK2l7WJ3RER9xtqwdhxkhw/edit?usp=sharing"",""กาญจนบุรี!J166"")"),0)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IFERROR(__xludf.DUMMYFUNCTION("IMPORTRANGE(""https://docs.google.com/spreadsheets/d/1SX6NBoVAgQJ6U1MVXOaj8PK2l7WJ3RER9xtqwdhxkhw/edit?usp=sharing"",""กาญจนบุรี!J166"")"),0)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IFERROR(__xludf.DUMMYFUNCTION("IMPORTRANGE(""https://docs.google.com/spreadsheets/d/1SX6NBoVAgQJ6U1MVXOaj8PK2l7WJ3RER9xtqwdhxkhw/edit?usp=sharing"",""กาญจนบุรี!J166"")"),0)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IFERROR(__xludf.DUMMYFUNCTION("IMPORTRANGE(""https://docs.google.com/spreadsheets/d/1SX6NBoVAgQJ6U1MVXOaj8PK2l7WJ3RER9xtqwdhxkhw/edit?usp=sharing"",""กาญจนบุรี!J166"")"),0)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IFERROR(__xludf.DUMMYFUNCTION("IMPORTRANGE(""https://docs.google.com/spreadsheets/d/1SX6NBoVAgQJ6U1MVXOaj8PK2l7WJ3RER9xtqwdhxkhw/edit?usp=sharing"",""กาญจนบุรี!I263"")"),30)</f>
        <v>30</v>
      </c>
      <c r="J368" s="189">
        <f ca="1">IFERROR(__xludf.DUMMYFUNCTION("IMPORTRANGE(""https://docs.google.com/spreadsheets/d/1SX6NBoVAgQJ6U1MVXOaj8PK2l7WJ3RER9xtqwdhxkhw/edit?usp=sharing"",""กาญจนบุรี!J263"")"),0)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IFERROR(__xludf.DUMMYFUNCTION("IMPORTRANGE(""https://docs.google.com/spreadsheets/d/1SX6NBoVAgQJ6U1MVXOaj8PK2l7WJ3RER9xtqwdhxkhw/edit?usp=sharing"",""กาญจนบุรี!I164"")"),0)</f>
        <v>0</v>
      </c>
      <c r="J369" s="205">
        <f ca="1">IFERROR(__xludf.DUMMYFUNCTION("IMPORTRANGE(""https://docs.google.com/spreadsheets/d/1SX6NBoVAgQJ6U1MVXOaj8PK2l7WJ3RER9xtqwdhxkhw/edit?usp=sharing"",""กาญจนบุรี!J164"")"),0)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IFERROR(__xludf.DUMMYFUNCTION("IMPORTRANGE(""https://docs.google.com/spreadsheets/d/1SX6NBoVAgQJ6U1MVXOaj8PK2l7WJ3RER9xtqwdhxkhw/edit?usp=sharing"",""กาญจนบุรี!I265"")"),30)</f>
        <v>30</v>
      </c>
      <c r="J370" s="205">
        <f ca="1">IFERROR(__xludf.DUMMYFUNCTION("IMPORTRANGE(""https://docs.google.com/spreadsheets/d/1SX6NBoVAgQJ6U1MVXOaj8PK2l7WJ3RER9xtqwdhxkhw/edit?usp=sharing"",""กาญจนบุรี!J265"")"),30)</f>
        <v>30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IFERROR(__xludf.DUMMYFUNCTION("IMPORTRANGE(""https://docs.google.com/spreadsheets/d/1SX6NBoVAgQJ6U1MVXOaj8PK2l7WJ3RER9xtqwdhxkhw/edit?usp=sharing"",""กาญจนบุรี!I164"")"),0)</f>
        <v>0</v>
      </c>
      <c r="J371" s="190">
        <f ca="1">IFERROR(__xludf.DUMMYFUNCTION("IMPORTRANGE(""https://docs.google.com/spreadsheets/d/1SX6NBoVAgQJ6U1MVXOaj8PK2l7WJ3RER9xtqwdhxkhw/edit?usp=sharing"",""กาญจนบุรี!J164"")"),0)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IFERROR(__xludf.DUMMYFUNCTION("IMPORTRANGE(""https://docs.google.com/spreadsheets/d/1SX6NBoVAgQJ6U1MVXOaj8PK2l7WJ3RER9xtqwdhxkhw/edit?usp=sharing"",""กาญจนบุรี!I267"")"),30)</f>
        <v>30</v>
      </c>
      <c r="J372" s="190">
        <f ca="1">IFERROR(__xludf.DUMMYFUNCTION("IMPORTRANGE(""https://docs.google.com/spreadsheets/d/1SX6NBoVAgQJ6U1MVXOaj8PK2l7WJ3RER9xtqwdhxkhw/edit?usp=sharing"",""กาญจนบุรี!J267"")"),0)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IFERROR(__xludf.DUMMYFUNCTION("IMPORTRANGE(""https://docs.google.com/spreadsheets/d/1SX6NBoVAgQJ6U1MVXOaj8PK2l7WJ3RER9xtqwdhxkhw/edit?usp=sharing"",""กาญจนบุรี!I164"")"),0)</f>
        <v>0</v>
      </c>
      <c r="J373" s="205">
        <f ca="1">IFERROR(__xludf.DUMMYFUNCTION("IMPORTRANGE(""https://docs.google.com/spreadsheets/d/1SX6NBoVAgQJ6U1MVXOaj8PK2l7WJ3RER9xtqwdhxkhw/edit?usp=sharing"",""กาญจนบุรี!J164"")"),0)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IFERROR(__xludf.DUMMYFUNCTION("IMPORTRANGE(""https://docs.google.com/spreadsheets/d/1SX6NBoVAgQJ6U1MVXOaj8PK2l7WJ3RER9xtqwdhxkhw/edit?usp=sharing"",""กาญจนบุรี!I164"")"),0)</f>
        <v>0</v>
      </c>
      <c r="J374" s="189">
        <f ca="1">IFERROR(__xludf.DUMMYFUNCTION("IMPORTRANGE(""https://docs.google.com/spreadsheets/d/1SX6NBoVAgQJ6U1MVXOaj8PK2l7WJ3RER9xtqwdhxkhw/edit?usp=sharing"",""กาญจนบุรี!J164"")"),0)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IFERROR(__xludf.DUMMYFUNCTION("IMPORTRANGE(""https://docs.google.com/spreadsheets/d/1SX6NBoVAgQJ6U1MVXOaj8PK2l7WJ3RER9xtqwdhxkhw/edit?usp=sharing"",""กาญจนบุรี!I270"")"),150)</f>
        <v>150</v>
      </c>
      <c r="J375" s="189">
        <f ca="1">IFERROR(__xludf.DUMMYFUNCTION("IMPORTRANGE(""https://docs.google.com/spreadsheets/d/1SX6NBoVAgQJ6U1MVXOaj8PK2l7WJ3RER9xtqwdhxkhw/edit?usp=sharing"",""กาญจนบุรี!J270"")"),0)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IFERROR(__xludf.DUMMYFUNCTION("IMPORTRANGE(""https://docs.google.com/spreadsheets/d/1SX6NBoVAgQJ6U1MVXOaj8PK2l7WJ3RER9xtqwdhxkhw/edit?usp=sharing"",""กาญจนบุรี!I271"")"),150)</f>
        <v>150</v>
      </c>
      <c r="J376" s="190">
        <f ca="1">IFERROR(__xludf.DUMMYFUNCTION("IMPORTRANGE(""https://docs.google.com/spreadsheets/d/1SX6NBoVAgQJ6U1MVXOaj8PK2l7WJ3RER9xtqwdhxkhw/edit?usp=sharing"",""กาญจนบุรี!J271"")"),0)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IFERROR(__xludf.DUMMYFUNCTION("IMPORTRANGE(""https://docs.google.com/spreadsheets/d/1SX6NBoVAgQJ6U1MVXOaj8PK2l7WJ3RER9xtqwdhxkhw/edit?usp=sharing"",""กาญจนบุรี!I272"")"),0)</f>
        <v>0</v>
      </c>
      <c r="J377" s="205">
        <f ca="1">IFERROR(__xludf.DUMMYFUNCTION("IMPORTRANGE(""https://docs.google.com/spreadsheets/d/1SX6NBoVAgQJ6U1MVXOaj8PK2l7WJ3RER9xtqwdhxkhw/edit?usp=sharing"",""กาญจนบุรี!J272"")"),0)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IFERROR(__xludf.DUMMYFUNCTION("IMPORTRANGE(""https://docs.google.com/spreadsheets/d/1SX6NBoVAgQJ6U1MVXOaj8PK2l7WJ3RER9xtqwdhxkhw/edit?usp=sharing"",""กาญจนบุรี!J273"")"),0)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IFERROR(__xludf.DUMMYFUNCTION("IMPORTRANGE(""https://docs.google.com/spreadsheets/d/1SX6NBoVAgQJ6U1MVXOaj8PK2l7WJ3RER9xtqwdhxkhw/edit?usp=sharing"",""กาญจนบุรี!J274"")"),0)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IFERROR(__xludf.DUMMYFUNCTION("IMPORTRANGE(""https://docs.google.com/spreadsheets/d/1SX6NBoVAgQJ6U1MVXOaj8PK2l7WJ3RER9xtqwdhxkhw/edit?usp=sharing"",""กาญจนบุรี!M275"")"),263345.5)</f>
        <v>263345.5</v>
      </c>
      <c r="O380" s="373">
        <f ca="1">+IF(L380&gt;0,N380*100/L380,0)</f>
        <v>25.604314937969122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IFERROR(__xludf.DUMMYFUNCTION("IMPORTRANGE(""https://docs.google.com/spreadsheets/d/1SX6NBoVAgQJ6U1MVXOaj8PK2l7WJ3RER9xtqwdhxkhw/edit?usp=sharing"",""กาญจนบุรี!L277"")"),0)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IFERROR(__xludf.DUMMYFUNCTION("IMPORTRANGE(""https://docs.google.com/spreadsheets/d/1SX6NBoVAgQJ6U1MVXOaj8PK2l7WJ3RER9xtqwdhxkhw/edit?usp=sharing"",""กาญจนบุรี!M277"")"),0)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IFERROR(__xludf.DUMMYFUNCTION("IMPORTRANGE(""https://docs.google.com/spreadsheets/d/1SX6NBoVAgQJ6U1MVXOaj8PK2l7WJ3RER9xtqwdhxkhw/edit?usp=sharing"",""กาญจนบุรี!L278"")"),1028520)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IFERROR(__xludf.DUMMYFUNCTION("IMPORTRANGE(""https://docs.google.com/spreadsheets/d/1SX6NBoVAgQJ6U1MVXOaj8PK2l7WJ3RER9xtqwdhxkhw/edit?usp=sharing"",""กาญจนบุรี!M278"")"),263345.5)</f>
        <v>263345.5</v>
      </c>
      <c r="O383" s="167">
        <f t="shared" ca="1" si="109"/>
        <v>25.604314937969122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IFERROR(__xludf.DUMMYFUNCTION("IMPORTRANGE(""https://docs.google.com/spreadsheets/d/1SX6NBoVAgQJ6U1MVXOaj8PK2l7WJ3RER9xtqwdhxkhw/edit?usp=sharing"",""กาญจนบุรี!L279"")"),0)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IFERROR(__xludf.DUMMYFUNCTION("IMPORTRANGE(""https://docs.google.com/spreadsheets/d/1SX6NBoVAgQJ6U1MVXOaj8PK2l7WJ3RER9xtqwdhxkhw/edit?usp=sharing"",""กาญจนบุรี!M279"")"),0)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IFERROR(__xludf.DUMMYFUNCTION("IMPORTRANGE(""https://docs.google.com/spreadsheets/d/1SX6NBoVAgQJ6U1MVXOaj8PK2l7WJ3RER9xtqwdhxkhw/edit?usp=sharing"",""กาญจนบุรี!L280"")"),1028520)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IFERROR(__xludf.DUMMYFUNCTION("IMPORTRANGE(""https://docs.google.com/spreadsheets/d/1SX6NBoVAgQJ6U1MVXOaj8PK2l7WJ3RER9xtqwdhxkhw/edit?usp=sharing"",""กาญจนบุรี!M280"")"),263345.5)</f>
        <v>263345.5</v>
      </c>
      <c r="O385" s="170">
        <f t="shared" ca="1" si="109"/>
        <v>25.604314937969122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IFERROR(__xludf.DUMMYFUNCTION("IMPORTRANGE(""https://docs.google.com/spreadsheets/d/1SX6NBoVAgQJ6U1MVXOaj8PK2l7WJ3RER9xtqwdhxkhw/edit?usp=sharing"",""กาญจนบุรี!M282"")"),0)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IFERROR(__xludf.DUMMYFUNCTION("IMPORTRANGE(""https://docs.google.com/spreadsheets/d/1SX6NBoVAgQJ6U1MVXOaj8PK2l7WJ3RER9xtqwdhxkhw/edit?usp=sharing"",""กาญจนบุรี!M283"")"),43276)</f>
        <v>43276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IFERROR(__xludf.DUMMYFUNCTION("IMPORTRANGE(""https://docs.google.com/spreadsheets/d/1SX6NBoVAgQJ6U1MVXOaj8PK2l7WJ3RER9xtqwdhxkhw/edit?usp=sharing"",""กาญจนบุรี!J286"")"),0)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IFERROR(__xludf.DUMMYFUNCTION("IMPORTRANGE(""https://docs.google.com/spreadsheets/d/1SX6NBoVAgQJ6U1MVXOaj8PK2l7WJ3RER9xtqwdhxkhw/edit?usp=sharing"",""กาญจนบุรี!J287"")"),1)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IFERROR(__xludf.DUMMYFUNCTION("IMPORTRANGE(""https://docs.google.com/spreadsheets/d/1SX6NBoVAgQJ6U1MVXOaj8PK2l7WJ3RER9xtqwdhxkhw/edit?usp=sharing"",""กาญจนบุรี!J288"")"),1)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IFERROR(__xludf.DUMMYFUNCTION("IMPORTRANGE(""https://docs.google.com/spreadsheets/d/1SX6NBoVAgQJ6U1MVXOaj8PK2l7WJ3RER9xtqwdhxkhw/edit?usp=sharing"",""กาญจนบุรี!J289"")"),1)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IFERROR(__xludf.DUMMYFUNCTION("IMPORTRANGE(""https://docs.google.com/spreadsheets/d/1SX6NBoVAgQJ6U1MVXOaj8PK2l7WJ3RER9xtqwdhxkhw/edit?usp=sharing"",""กาญจนบุรี!I291"")"),100)</f>
        <v>100</v>
      </c>
      <c r="J396" s="199">
        <f ca="1">IFERROR(__xludf.DUMMYFUNCTION("IMPORTRANGE(""https://docs.google.com/spreadsheets/d/1SX6NBoVAgQJ6U1MVXOaj8PK2l7WJ3RER9xtqwdhxkhw/edit?usp=sharing"",""กาญจนบุรี!J291"")"),100)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IFERROR(__xludf.DUMMYFUNCTION("IMPORTRANGE(""https://docs.google.com/spreadsheets/d/1SX6NBoVAgQJ6U1MVXOaj8PK2l7WJ3RER9xtqwdhxkhw/edit?usp=sharing"",""กาญจนบุรี!I292"")"),1000)</f>
        <v>1000</v>
      </c>
      <c r="J397" s="199">
        <f ca="1">IFERROR(__xludf.DUMMYFUNCTION("IMPORTRANGE(""https://docs.google.com/spreadsheets/d/1SX6NBoVAgQJ6U1MVXOaj8PK2l7WJ3RER9xtqwdhxkhw/edit?usp=sharing"",""กาญจนบุรี!J292"")"),0)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IFERROR(__xludf.DUMMYFUNCTION("IMPORTRANGE(""https://docs.google.com/spreadsheets/d/1SX6NBoVAgQJ6U1MVXOaj8PK2l7WJ3RER9xtqwdhxkhw/edit?usp=sharing"",""กาญจนบุรี!I293"")"),100)</f>
        <v>100</v>
      </c>
      <c r="J398" s="199">
        <f ca="1">IFERROR(__xludf.DUMMYFUNCTION("IMPORTRANGE(""https://docs.google.com/spreadsheets/d/1SX6NBoVAgQJ6U1MVXOaj8PK2l7WJ3RER9xtqwdhxkhw/edit?usp=sharing"",""กาญจนบุรี!J293"")"),0)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IFERROR(__xludf.DUMMYFUNCTION("IMPORTRANGE(""https://docs.google.com/spreadsheets/d/1SX6NBoVAgQJ6U1MVXOaj8PK2l7WJ3RER9xtqwdhxkhw/edit?usp=sharing"",""กาญจนบุรี!J294"")"),0)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IFERROR(__xludf.DUMMYFUNCTION("IMPORTRANGE(""https://docs.google.com/spreadsheets/d/1SX6NBoVAgQJ6U1MVXOaj8PK2l7WJ3RER9xtqwdhxkhw/edit?usp=sharing"",""กาญจนบุรี!J295"")"),0)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IFERROR(__xludf.DUMMYFUNCTION("IMPORTRANGE(""https://docs.google.com/spreadsheets/d/1SX6NBoVAgQJ6U1MVXOaj8PK2l7WJ3RER9xtqwdhxkhw/edit?usp=sharing"",""กาญจนบุรี!M296"")"),0)</f>
        <v>0</v>
      </c>
      <c r="O401" s="373">
        <f ca="1">+IF(L401&gt;0,N401*100/L401,0)</f>
        <v>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IFERROR(__xludf.DUMMYFUNCTION("IMPORTRANGE(""https://docs.google.com/spreadsheets/d/1SX6NBoVAgQJ6U1MVXOaj8PK2l7WJ3RER9xtqwdhxkhw/edit?usp=sharing"",""กาญจนบุรี!L298"")"),0)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IFERROR(__xludf.DUMMYFUNCTION("IMPORTRANGE(""https://docs.google.com/spreadsheets/d/1SX6NBoVAgQJ6U1MVXOaj8PK2l7WJ3RER9xtqwdhxkhw/edit?usp=sharing"",""กาญจนบุรี!M298"")"),0)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IFERROR(__xludf.DUMMYFUNCTION("IMPORTRANGE(""https://docs.google.com/spreadsheets/d/1SX6NBoVAgQJ6U1MVXOaj8PK2l7WJ3RER9xtqwdhxkhw/edit?usp=sharing"",""กาญจนบุรี!L299"")"),169190)</f>
        <v>169190</v>
      </c>
      <c r="M404" s="167"/>
      <c r="N404" s="170">
        <f ca="1">IFERROR(__xludf.DUMMYFUNCTION("IMPORTRANGE(""https://docs.google.com/spreadsheets/d/1SX6NBoVAgQJ6U1MVXOaj8PK2l7WJ3RER9xtqwdhxkhw/edit?usp=sharing"",""กาญจนบุรี!M299"")"),0)</f>
        <v>0</v>
      </c>
      <c r="O404" s="170">
        <f t="shared" ca="1" si="112"/>
        <v>0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IFERROR(__xludf.DUMMYFUNCTION("IMPORTRANGE(""https://docs.google.com/spreadsheets/d/1SX6NBoVAgQJ6U1MVXOaj8PK2l7WJ3RER9xtqwdhxkhw/edit?usp=sharing"",""กาญจนบุรี!L300"")"),0)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IFERROR(__xludf.DUMMYFUNCTION("IMPORTRANGE(""https://docs.google.com/spreadsheets/d/1SX6NBoVAgQJ6U1MVXOaj8PK2l7WJ3RER9xtqwdhxkhw/edit?usp=sharing"",""กาญจนบุรี!M300"")"),0)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IFERROR(__xludf.DUMMYFUNCTION("IMPORTRANGE(""https://docs.google.com/spreadsheets/d/1SX6NBoVAgQJ6U1MVXOaj8PK2l7WJ3RER9xtqwdhxkhw/edit?usp=sharing"",""กาญจนบุรี!L301"")"),169190)</f>
        <v>169190</v>
      </c>
      <c r="M406" s="170"/>
      <c r="N406" s="170">
        <f ca="1">IFERROR(__xludf.DUMMYFUNCTION("IMPORTRANGE(""https://docs.google.com/spreadsheets/d/1SX6NBoVAgQJ6U1MVXOaj8PK2l7WJ3RER9xtqwdhxkhw/edit?usp=sharing"",""กาญจนบุรี!M301"")"),0)</f>
        <v>0</v>
      </c>
      <c r="O406" s="170">
        <f t="shared" ca="1" si="112"/>
        <v>0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IFERROR(__xludf.DUMMYFUNCTION("IMPORTRANGE(""https://docs.google.com/spreadsheets/d/1SX6NBoVAgQJ6U1MVXOaj8PK2l7WJ3RER9xtqwdhxkhw/edit?usp=sharing"",""กาญจนบุรี!M302"")"),0)</f>
        <v>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IFERROR(__xludf.DUMMYFUNCTION("IMPORTRANGE(""https://docs.google.com/spreadsheets/d/1SX6NBoVAgQJ6U1MVXOaj8PK2l7WJ3RER9xtqwdhxkhw/edit?usp=sharing"",""กาญจนบุรี!M305"")"),0)</f>
        <v>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IFERROR(__xludf.DUMMYFUNCTION("IMPORTRANGE(""https://docs.google.com/spreadsheets/d/1SX6NBoVAgQJ6U1MVXOaj8PK2l7WJ3RER9xtqwdhxkhw/edit?usp=sharing"",""กาญจนบุรี!J307"")"),0)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IFERROR(__xludf.DUMMYFUNCTION("IMPORTRANGE(""https://docs.google.com/spreadsheets/d/1SX6NBoVAgQJ6U1MVXOaj8PK2l7WJ3RER9xtqwdhxkhw/edit?usp=sharing"",""กาญจนบุรี!J308"")"),1)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IFERROR(__xludf.DUMMYFUNCTION("IMPORTRANGE(""https://docs.google.com/spreadsheets/d/1SX6NBoVAgQJ6U1MVXOaj8PK2l7WJ3RER9xtqwdhxkhw/edit?usp=sharing"",""กาญจนบุรี!J309"")"),1)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IFERROR(__xludf.DUMMYFUNCTION("IMPORTRANGE(""https://docs.google.com/spreadsheets/d/1SX6NBoVAgQJ6U1MVXOaj8PK2l7WJ3RER9xtqwdhxkhw/edit?usp=sharing"",""กาญจนบุรี!J310"")"),1)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IFERROR(__xludf.DUMMYFUNCTION("IMPORTRANGE(""https://docs.google.com/spreadsheets/d/1SX6NBoVAgQJ6U1MVXOaj8PK2l7WJ3RER9xtqwdhxkhw/edit?usp=sharing"",""กาญจนบุรี!I311"")"),48)</f>
        <v>48</v>
      </c>
      <c r="J416" s="202">
        <f ca="1">IFERROR(__xludf.DUMMYFUNCTION("IMPORTRANGE(""https://docs.google.com/spreadsheets/d/1SX6NBoVAgQJ6U1MVXOaj8PK2l7WJ3RER9xtqwdhxkhw/edit?usp=sharing"",""กาญจนบุรี!J311"")"),0)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IFERROR(__xludf.DUMMYFUNCTION("IMPORTRANGE(""https://docs.google.com/spreadsheets/d/1SX6NBoVAgQJ6U1MVXOaj8PK2l7WJ3RER9xtqwdhxkhw/edit?usp=sharing"",""กาญจนบุรี!J328"")"),0)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IFERROR(__xludf.DUMMYFUNCTION("IMPORTRANGE(""https://docs.google.com/spreadsheets/d/1SX6NBoVAgQJ6U1MVXOaj8PK2l7WJ3RER9xtqwdhxkhw/edit?usp=sharing"",""กาญจนบุรี!J329"")"),0)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IFERROR(__xludf.DUMMYFUNCTION("IMPORTRANGE(""https://docs.google.com/spreadsheets/d/1SX6NBoVAgQJ6U1MVXOaj8PK2l7WJ3RER9xtqwdhxkhw/edit?usp=sharing"",""กาญจนบุรี!M330"")"),68806.29)</f>
        <v>68806.289999999994</v>
      </c>
      <c r="O435" s="412">
        <f t="shared" ref="O435:O439" ca="1" si="114">+IF(L435&gt;0,N435*100/L435,0)</f>
        <v>47.782145833333324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IFERROR(__xludf.DUMMYFUNCTION("IMPORTRANGE(""https://docs.google.com/spreadsheets/d/1SX6NBoVAgQJ6U1MVXOaj8PK2l7WJ3RER9xtqwdhxkhw/edit?usp=sharing"",""กาญจนบุรี!L331"")"),0)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IFERROR(__xludf.DUMMYFUNCTION("IMPORTRANGE(""https://docs.google.com/spreadsheets/d/1SX6NBoVAgQJ6U1MVXOaj8PK2l7WJ3RER9xtqwdhxkhw/edit?usp=sharing"",""กาญจนบุรี!M331"")"),0)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IFERROR(__xludf.DUMMYFUNCTION("IMPORTRANGE(""https://docs.google.com/spreadsheets/d/1SX6NBoVAgQJ6U1MVXOaj8PK2l7WJ3RER9xtqwdhxkhw/edit?usp=sharing"",""กาญจนบุรี!L332"")"),144000)</f>
        <v>144000</v>
      </c>
      <c r="M437" s="167"/>
      <c r="N437" s="170">
        <f ca="1">IFERROR(__xludf.DUMMYFUNCTION("IMPORTRANGE(""https://docs.google.com/spreadsheets/d/1SX6NBoVAgQJ6U1MVXOaj8PK2l7WJ3RER9xtqwdhxkhw/edit?usp=sharing"",""กาญจนบุรี!M332"")"),68806.29)</f>
        <v>68806.289999999994</v>
      </c>
      <c r="O437" s="170">
        <f t="shared" ca="1" si="114"/>
        <v>47.782145833333324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IFERROR(__xludf.DUMMYFUNCTION("IMPORTRANGE(""https://docs.google.com/spreadsheets/d/1SX6NBoVAgQJ6U1MVXOaj8PK2l7WJ3RER9xtqwdhxkhw/edit?usp=sharing"",""กาญจนบุรี!L333"")"),0)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IFERROR(__xludf.DUMMYFUNCTION("IMPORTRANGE(""https://docs.google.com/spreadsheets/d/1SX6NBoVAgQJ6U1MVXOaj8PK2l7WJ3RER9xtqwdhxkhw/edit?usp=sharing"",""กาญจนบุรี!M333"")"),0)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IFERROR(__xludf.DUMMYFUNCTION("IMPORTRANGE(""https://docs.google.com/spreadsheets/d/1SX6NBoVAgQJ6U1MVXOaj8PK2l7WJ3RER9xtqwdhxkhw/edit?usp=sharing"",""กาญจนบุรี!L334"")"),144000)</f>
        <v>144000</v>
      </c>
      <c r="M439" s="170"/>
      <c r="N439" s="170">
        <f ca="1">IFERROR(__xludf.DUMMYFUNCTION("IMPORTRANGE(""https://docs.google.com/spreadsheets/d/1SX6NBoVAgQJ6U1MVXOaj8PK2l7WJ3RER9xtqwdhxkhw/edit?usp=sharing"",""กาญจนบุรี!M334"")"),68806.29)</f>
        <v>68806.289999999994</v>
      </c>
      <c r="O439" s="170">
        <f t="shared" ca="1" si="114"/>
        <v>47.782145833333324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IFERROR(__xludf.DUMMYFUNCTION("IMPORTRANGE(""https://docs.google.com/spreadsheets/d/1SX6NBoVAgQJ6U1MVXOaj8PK2l7WJ3RER9xtqwdhxkhw/edit?usp=sharing"",""กาญจนบุรี!M338"")"),7105)</f>
        <v>7105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IFERROR(__xludf.DUMMYFUNCTION("IMPORTRANGE(""https://docs.google.com/spreadsheets/d/1SX6NBoVAgQJ6U1MVXOaj8PK2l7WJ3RER9xtqwdhxkhw/edit?usp=sharing"",""กาญจนบุรี!J342"")"),1)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IFERROR(__xludf.DUMMYFUNCTION("IMPORTRANGE(""https://docs.google.com/spreadsheets/d/1SX6NBoVAgQJ6U1MVXOaj8PK2l7WJ3RER9xtqwdhxkhw/edit?usp=sharing"",""กาญจนบุรี!J343"")"),1)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2">
        <f ca="1">IFERROR(__xludf.DUMMYFUNCTION("IMPORTRANGE(""https://docs.google.com/spreadsheets/d/1SX6NBoVAgQJ6U1MVXOaj8PK2l7WJ3RER9xtqwdhxkhw/edit?usp=sharing"",""กาญจนบุรี!J344"")"),40)</f>
        <v>40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IFERROR(__xludf.DUMMYFUNCTION("IMPORTRANGE(""https://docs.google.com/spreadsheets/d/1SX6NBoVAgQJ6U1MVXOaj8PK2l7WJ3RER9xtqwdhxkhw/edit?usp=sharing"",""กาญจนบุรี!I345"")"),40)</f>
        <v>40</v>
      </c>
      <c r="J450" s="190">
        <f ca="1">IFERROR(__xludf.DUMMYFUNCTION("IMPORTRANGE(""https://docs.google.com/spreadsheets/d/1SX6NBoVAgQJ6U1MVXOaj8PK2l7WJ3RER9xtqwdhxkhw/edit?usp=sharing"",""กาญจนบุรี!J345"")"),40)</f>
        <v>40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IFERROR(__xludf.DUMMYFUNCTION("IMPORTRANGE(""https://docs.google.com/spreadsheets/d/1SX6NBoVAgQJ6U1MVXOaj8PK2l7WJ3RER9xtqwdhxkhw/edit?usp=sharing"",""กาญจนบุรี!I346"")"),0)</f>
        <v>0</v>
      </c>
      <c r="J451" s="189">
        <f ca="1">IFERROR(__xludf.DUMMYFUNCTION("IMPORTRANGE(""https://docs.google.com/spreadsheets/d/1SX6NBoVAgQJ6U1MVXOaj8PK2l7WJ3RER9xtqwdhxkhw/edit?usp=sharing"",""กาญจนบุรี!J346"")"),0)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IFERROR(__xludf.DUMMYFUNCTION("IMPORTRANGE(""https://docs.google.com/spreadsheets/d/1SX6NBoVAgQJ6U1MVXOaj8PK2l7WJ3RER9xtqwdhxkhw/edit?usp=sharing"",""กาญจนบุรี!I347"")"),0)</f>
        <v>0</v>
      </c>
      <c r="J452" s="189">
        <f ca="1">IFERROR(__xludf.DUMMYFUNCTION("IMPORTRANGE(""https://docs.google.com/spreadsheets/d/1SX6NBoVAgQJ6U1MVXOaj8PK2l7WJ3RER9xtqwdhxkhw/edit?usp=sharing"",""กาญจนบุรี!J347"")"),0)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IFERROR(__xludf.DUMMYFUNCTION("IMPORTRANGE(""https://docs.google.com/spreadsheets/d/1SX6NBoVAgQJ6U1MVXOaj8PK2l7WJ3RER9xtqwdhxkhw/edit?usp=sharing"",""กาญจนบุรี!J348"")"),0)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IFERROR(__xludf.DUMMYFUNCTION("IMPORTRANGE(""https://docs.google.com/spreadsheets/d/1SX6NBoVAgQJ6U1MVXOaj8PK2l7WJ3RER9xtqwdhxkhw/edit?usp=sharing"",""กาญจนบุรี!J349"")"),0)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IFERROR(__xludf.DUMMYFUNCTION("IMPORTRANGE(""https://docs.google.com/spreadsheets/d/1SX6NBoVAgQJ6U1MVXOaj8PK2l7WJ3RER9xtqwdhxkhw/edit?usp=sharing"",""กาญจนบุรี!L350"")"),1031428)</f>
        <v>1031428</v>
      </c>
      <c r="M455" s="373"/>
      <c r="N455" s="373">
        <f ca="1">IFERROR(__xludf.DUMMYFUNCTION("IMPORTRANGE(""https://docs.google.com/spreadsheets/d/1SX6NBoVAgQJ6U1MVXOaj8PK2l7WJ3RER9xtqwdhxkhw/edit?usp=sharing"",""กาญจนบุรี!M350"")"),98496)</f>
        <v>98496</v>
      </c>
      <c r="O455" s="373">
        <f t="shared" ref="O455:O459" ca="1" si="116">+IF(L455&gt;0,N455*100/L455,0)</f>
        <v>9.5494789747805946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IFERROR(__xludf.DUMMYFUNCTION("IMPORTRANGE(""https://docs.google.com/spreadsheets/d/1SX6NBoVAgQJ6U1MVXOaj8PK2l7WJ3RER9xtqwdhxkhw/edit?usp=sharing"",""กาญจนบุรี!L351"")"),0)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IFERROR(__xludf.DUMMYFUNCTION("IMPORTRANGE(""https://docs.google.com/spreadsheets/d/1SX6NBoVAgQJ6U1MVXOaj8PK2l7WJ3RER9xtqwdhxkhw/edit?usp=sharing"",""กาญจนบุรี!M351"")"),0)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IFERROR(__xludf.DUMMYFUNCTION("IMPORTRANGE(""https://docs.google.com/spreadsheets/d/1SX6NBoVAgQJ6U1MVXOaj8PK2l7WJ3RER9xtqwdhxkhw/edit?usp=sharing"",""กาญจนบุรี!L352"")"),1031428)</f>
        <v>1031428</v>
      </c>
      <c r="M457" s="167"/>
      <c r="N457" s="170">
        <f ca="1">IFERROR(__xludf.DUMMYFUNCTION("IMPORTRANGE(""https://docs.google.com/spreadsheets/d/1SX6NBoVAgQJ6U1MVXOaj8PK2l7WJ3RER9xtqwdhxkhw/edit?usp=sharing"",""กาญจนบุรี!M352"")"),98496)</f>
        <v>98496</v>
      </c>
      <c r="O457" s="170">
        <f t="shared" ca="1" si="116"/>
        <v>9.5494789747805946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IFERROR(__xludf.DUMMYFUNCTION("IMPORTRANGE(""https://docs.google.com/spreadsheets/d/1SX6NBoVAgQJ6U1MVXOaj8PK2l7WJ3RER9xtqwdhxkhw/edit?usp=sharing"",""กาญจนบุรี!L353"")"),0)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IFERROR(__xludf.DUMMYFUNCTION("IMPORTRANGE(""https://docs.google.com/spreadsheets/d/1SX6NBoVAgQJ6U1MVXOaj8PK2l7WJ3RER9xtqwdhxkhw/edit?usp=sharing"",""กาญจนบุรี!M353"")"),0)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IFERROR(__xludf.DUMMYFUNCTION("IMPORTRANGE(""https://docs.google.com/spreadsheets/d/1SX6NBoVAgQJ6U1MVXOaj8PK2l7WJ3RER9xtqwdhxkhw/edit?usp=sharing"",""กาญจนบุรี!L354"")"),1031428)</f>
        <v>1031428</v>
      </c>
      <c r="M459" s="170"/>
      <c r="N459" s="170">
        <f ca="1">IFERROR(__xludf.DUMMYFUNCTION("IMPORTRANGE(""https://docs.google.com/spreadsheets/d/1SX6NBoVAgQJ6U1MVXOaj8PK2l7WJ3RER9xtqwdhxkhw/edit?usp=sharing"",""กาญจนบุรี!M354"")"),98496)</f>
        <v>98496</v>
      </c>
      <c r="O459" s="170">
        <f t="shared" ca="1" si="116"/>
        <v>9.5494789747805946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IFERROR(__xludf.DUMMYFUNCTION("IMPORTRANGE(""https://docs.google.com/spreadsheets/d/1SX6NBoVAgQJ6U1MVXOaj8PK2l7WJ3RER9xtqwdhxkhw/edit?usp=sharing"",""กาญจนบุรี!M355"")"),0)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IFERROR(__xludf.DUMMYFUNCTION("IMPORTRANGE(""https://docs.google.com/spreadsheets/d/1SX6NBoVAgQJ6U1MVXOaj8PK2l7WJ3RER9xtqwdhxkhw/edit?usp=sharing"",""กาญจนบุรี!M356"")"),0)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IFERROR(__xludf.DUMMYFUNCTION("IMPORTRANGE(""https://docs.google.com/spreadsheets/d/1SX6NBoVAgQJ6U1MVXOaj8PK2l7WJ3RER9xtqwdhxkhw/edit?usp=sharing"",""กาญจนบุรี!M357"")"),43276)</f>
        <v>43276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IFERROR(__xludf.DUMMYFUNCTION("IMPORTRANGE(""https://docs.google.com/spreadsheets/d/1SX6NBoVAgQJ6U1MVXOaj8PK2l7WJ3RER9xtqwdhxkhw/edit?usp=sharing"",""กาญจนบุรี!M358"")"),55220)</f>
        <v>55220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IFERROR(__xludf.DUMMYFUNCTION("IMPORTRANGE(""https://docs.google.com/spreadsheets/d/1SX6NBoVAgQJ6U1MVXOaj8PK2l7WJ3RER9xtqwdhxkhw/edit?usp=sharing"",""กาญจนบุรี!J360"")"),78733)</f>
        <v>78733</v>
      </c>
      <c r="K465" s="203">
        <f t="shared" ca="1" si="117"/>
        <v>42.301141705842845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IFERROR(__xludf.DUMMYFUNCTION("IMPORTRANGE(""https://docs.google.com/spreadsheets/d/1SX6NBoVAgQJ6U1MVXOaj8PK2l7WJ3RER9xtqwdhxkhw/edit?usp=sharing"",""กาญจนบุรี!J361"")"),5972)</f>
        <v>5972</v>
      </c>
      <c r="K466" s="203">
        <f t="shared" ca="1" si="117"/>
        <v>44.504061405469855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IFERROR(__xludf.DUMMYFUNCTION("IMPORTRANGE(""https://docs.google.com/spreadsheets/d/1SX6NBoVAgQJ6U1MVXOaj8PK2l7WJ3RER9xtqwdhxkhw/edit?usp=sharing"",""กาญจนบุรี!I362"")"),0)</f>
        <v>0</v>
      </c>
      <c r="J467" s="190">
        <f ca="1">IFERROR(__xludf.DUMMYFUNCTION("IMPORTRANGE(""https://docs.google.com/spreadsheets/d/1SX6NBoVAgQJ6U1MVXOaj8PK2l7WJ3RER9xtqwdhxkhw/edit?usp=sharing"",""กาญจนบุรี!J362"")"),62918)</f>
        <v>62918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IFERROR(__xludf.DUMMYFUNCTION("IMPORTRANGE(""https://docs.google.com/spreadsheets/d/1SX6NBoVAgQJ6U1MVXOaj8PK2l7WJ3RER9xtqwdhxkhw/edit?usp=sharing"",""กาญจนบุรี!I363"")"),0)</f>
        <v>0</v>
      </c>
      <c r="J468" s="190">
        <f ca="1">IFERROR(__xludf.DUMMYFUNCTION("IMPORTRANGE(""https://docs.google.com/spreadsheets/d/1SX6NBoVAgQJ6U1MVXOaj8PK2l7WJ3RER9xtqwdhxkhw/edit?usp=sharing"",""กาญจนบุรี!J363"")"),5028)</f>
        <v>5028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IFERROR(__xludf.DUMMYFUNCTION("IMPORTRANGE(""https://docs.google.com/spreadsheets/d/1SX6NBoVAgQJ6U1MVXOaj8PK2l7WJ3RER9xtqwdhxkhw/edit?usp=sharing"",""กาญจนบุรี!I364"")"),0)</f>
        <v>0</v>
      </c>
      <c r="J469" s="190">
        <f ca="1">IFERROR(__xludf.DUMMYFUNCTION("IMPORTRANGE(""https://docs.google.com/spreadsheets/d/1SX6NBoVAgQJ6U1MVXOaj8PK2l7WJ3RER9xtqwdhxkhw/edit?usp=sharing"",""กาญจนบุรี!J364"")"),12857)</f>
        <v>12857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IFERROR(__xludf.DUMMYFUNCTION("IMPORTRANGE(""https://docs.google.com/spreadsheets/d/1SX6NBoVAgQJ6U1MVXOaj8PK2l7WJ3RER9xtqwdhxkhw/edit?usp=sharing"",""กาญจนบุรี!I365"")"),0)</f>
        <v>0</v>
      </c>
      <c r="J470" s="190">
        <f ca="1">IFERROR(__xludf.DUMMYFUNCTION("IMPORTRANGE(""https://docs.google.com/spreadsheets/d/1SX6NBoVAgQJ6U1MVXOaj8PK2l7WJ3RER9xtqwdhxkhw/edit?usp=sharing"",""กาญจนบุรี!J365"")"),716)</f>
        <v>716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IFERROR(__xludf.DUMMYFUNCTION("IMPORTRANGE(""https://docs.google.com/spreadsheets/d/1SX6NBoVAgQJ6U1MVXOaj8PK2l7WJ3RER9xtqwdhxkhw/edit?usp=sharing"",""กาญจนบุรี!I366"")"),0)</f>
        <v>0</v>
      </c>
      <c r="J471" s="190">
        <f ca="1">IFERROR(__xludf.DUMMYFUNCTION("IMPORTRANGE(""https://docs.google.com/spreadsheets/d/1SX6NBoVAgQJ6U1MVXOaj8PK2l7WJ3RER9xtqwdhxkhw/edit?usp=sharing"",""กาญจนบุรี!J366"")"),2958)</f>
        <v>2958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IFERROR(__xludf.DUMMYFUNCTION("IMPORTRANGE(""https://docs.google.com/spreadsheets/d/1SX6NBoVAgQJ6U1MVXOaj8PK2l7WJ3RER9xtqwdhxkhw/edit?usp=sharing"",""กาญจนบุรี!I367"")"),0)</f>
        <v>0</v>
      </c>
      <c r="J472" s="190">
        <f ca="1">IFERROR(__xludf.DUMMYFUNCTION("IMPORTRANGE(""https://docs.google.com/spreadsheets/d/1SX6NBoVAgQJ6U1MVXOaj8PK2l7WJ3RER9xtqwdhxkhw/edit?usp=sharing"",""กาญจนบุรี!J367"")"),228)</f>
        <v>228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IFERROR(__xludf.DUMMYFUNCTION("IMPORTRANGE(""https://docs.google.com/spreadsheets/d/1SX6NBoVAgQJ6U1MVXOaj8PK2l7WJ3RER9xtqwdhxkhw/edit?usp=sharing"",""กาญจนบุรี!I370"")"),0)</f>
        <v>0</v>
      </c>
      <c r="J475" s="190">
        <f ca="1">IFERROR(__xludf.DUMMYFUNCTION("IMPORTRANGE(""https://docs.google.com/spreadsheets/d/1SX6NBoVAgQJ6U1MVXOaj8PK2l7WJ3RER9xtqwdhxkhw/edit?usp=sharing"",""กาญจนบุรี!J370"")"),0)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IFERROR(__xludf.DUMMYFUNCTION("IMPORTRANGE(""https://docs.google.com/spreadsheets/d/1SX6NBoVAgQJ6U1MVXOaj8PK2l7WJ3RER9xtqwdhxkhw/edit?usp=sharing"",""กาญจนบุรี!I371"")"),0)</f>
        <v>0</v>
      </c>
      <c r="J476" s="190">
        <f ca="1">IFERROR(__xludf.DUMMYFUNCTION("IMPORTRANGE(""https://docs.google.com/spreadsheets/d/1SX6NBoVAgQJ6U1MVXOaj8PK2l7WJ3RER9xtqwdhxkhw/edit?usp=sharing"",""กาญจนบุรี!J371"")"),0)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IFERROR(__xludf.DUMMYFUNCTION("IMPORTRANGE(""https://docs.google.com/spreadsheets/d/1SX6NBoVAgQJ6U1MVXOaj8PK2l7WJ3RER9xtqwdhxkhw/edit?usp=sharing"",""กาญจนบุรี!I372"")"),0)</f>
        <v>0</v>
      </c>
      <c r="J477" s="190">
        <f ca="1">IFERROR(__xludf.DUMMYFUNCTION("IMPORTRANGE(""https://docs.google.com/spreadsheets/d/1SX6NBoVAgQJ6U1MVXOaj8PK2l7WJ3RER9xtqwdhxkhw/edit?usp=sharing"",""กาญจนบุรี!J372"")"),0)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IFERROR(__xludf.DUMMYFUNCTION("IMPORTRANGE(""https://docs.google.com/spreadsheets/d/1SX6NBoVAgQJ6U1MVXOaj8PK2l7WJ3RER9xtqwdhxkhw/edit?usp=sharing"",""กาญจนบุรี!I373"")"),0)</f>
        <v>0</v>
      </c>
      <c r="J478" s="190">
        <f ca="1">IFERROR(__xludf.DUMMYFUNCTION("IMPORTRANGE(""https://docs.google.com/spreadsheets/d/1SX6NBoVAgQJ6U1MVXOaj8PK2l7WJ3RER9xtqwdhxkhw/edit?usp=sharing"",""กาญจนบุรี!J373"")"),0)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IFERROR(__xludf.DUMMYFUNCTION("IMPORTRANGE(""https://docs.google.com/spreadsheets/d/1SX6NBoVAgQJ6U1MVXOaj8PK2l7WJ3RER9xtqwdhxkhw/edit?usp=sharing"",""กาญจนบุรี!I374"")"),0)</f>
        <v>0</v>
      </c>
      <c r="J479" s="190">
        <f ca="1">IFERROR(__xludf.DUMMYFUNCTION("IMPORTRANGE(""https://docs.google.com/spreadsheets/d/1SX6NBoVAgQJ6U1MVXOaj8PK2l7WJ3RER9xtqwdhxkhw/edit?usp=sharing"",""กาญจนบุรี!J374"")"),0)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IFERROR(__xludf.DUMMYFUNCTION("IMPORTRANGE(""https://docs.google.com/spreadsheets/d/1SX6NBoVAgQJ6U1MVXOaj8PK2l7WJ3RER9xtqwdhxkhw/edit?usp=sharing"",""กาญจนบุรี!I375"")"),0)</f>
        <v>0</v>
      </c>
      <c r="J480" s="190">
        <f ca="1">IFERROR(__xludf.DUMMYFUNCTION("IMPORTRANGE(""https://docs.google.com/spreadsheets/d/1SX6NBoVAgQJ6U1MVXOaj8PK2l7WJ3RER9xtqwdhxkhw/edit?usp=sharing"",""กาญจนบุรี!J375"")"),0)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IFERROR(__xludf.DUMMYFUNCTION("IMPORTRANGE(""https://docs.google.com/spreadsheets/d/1SX6NBoVAgQJ6U1MVXOaj8PK2l7WJ3RER9xtqwdhxkhw/edit?usp=sharing"",""กาญจนบุรี!I378"")"),0)</f>
        <v>0</v>
      </c>
      <c r="J483" s="190">
        <f ca="1">IFERROR(__xludf.DUMMYFUNCTION("IMPORTRANGE(""https://docs.google.com/spreadsheets/d/1SX6NBoVAgQJ6U1MVXOaj8PK2l7WJ3RER9xtqwdhxkhw/edit?usp=sharing"",""กาญจนบุรี!J378"")"),0)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IFERROR(__xludf.DUMMYFUNCTION("IMPORTRANGE(""https://docs.google.com/spreadsheets/d/1SX6NBoVAgQJ6U1MVXOaj8PK2l7WJ3RER9xtqwdhxkhw/edit?usp=sharing"",""กาญจนบุรี!I379"")"),0)</f>
        <v>0</v>
      </c>
      <c r="J484" s="190">
        <f ca="1">IFERROR(__xludf.DUMMYFUNCTION("IMPORTRANGE(""https://docs.google.com/spreadsheets/d/1SX6NBoVAgQJ6U1MVXOaj8PK2l7WJ3RER9xtqwdhxkhw/edit?usp=sharing"",""กาญจนบุรี!J379"")"),0)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IFERROR(__xludf.DUMMYFUNCTION("IMPORTRANGE(""https://docs.google.com/spreadsheets/d/1SX6NBoVAgQJ6U1MVXOaj8PK2l7WJ3RER9xtqwdhxkhw/edit?usp=sharing"",""กาญจนบุรี!I380"")"),0)</f>
        <v>0</v>
      </c>
      <c r="J485" s="190">
        <f ca="1">IFERROR(__xludf.DUMMYFUNCTION("IMPORTRANGE(""https://docs.google.com/spreadsheets/d/1SX6NBoVAgQJ6U1MVXOaj8PK2l7WJ3RER9xtqwdhxkhw/edit?usp=sharing"",""กาญจนบุรี!J380"")"),0)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IFERROR(__xludf.DUMMYFUNCTION("IMPORTRANGE(""https://docs.google.com/spreadsheets/d/1SX6NBoVAgQJ6U1MVXOaj8PK2l7WJ3RER9xtqwdhxkhw/edit?usp=sharing"",""กาญจนบุรี!I381"")"),0)</f>
        <v>0</v>
      </c>
      <c r="J486" s="190">
        <f ca="1">IFERROR(__xludf.DUMMYFUNCTION("IMPORTRANGE(""https://docs.google.com/spreadsheets/d/1SX6NBoVAgQJ6U1MVXOaj8PK2l7WJ3RER9xtqwdhxkhw/edit?usp=sharing"",""กาญจนบุรี!J381"")"),0)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IFERROR(__xludf.DUMMYFUNCTION("IMPORTRANGE(""https://docs.google.com/spreadsheets/d/1SX6NBoVAgQJ6U1MVXOaj8PK2l7WJ3RER9xtqwdhxkhw/edit?usp=sharing"",""กาญจนบุรี!I384"")"),0)</f>
        <v>0</v>
      </c>
      <c r="J489" s="190">
        <f ca="1">IFERROR(__xludf.DUMMYFUNCTION("IMPORTRANGE(""https://docs.google.com/spreadsheets/d/1SX6NBoVAgQJ6U1MVXOaj8PK2l7WJ3RER9xtqwdhxkhw/edit?usp=sharing"",""กาญจนบุรี!J384"")"),0)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IFERROR(__xludf.DUMMYFUNCTION("IMPORTRANGE(""https://docs.google.com/spreadsheets/d/1SX6NBoVAgQJ6U1MVXOaj8PK2l7WJ3RER9xtqwdhxkhw/edit?usp=sharing"",""กาญจนบุรี!I385"")"),0)</f>
        <v>0</v>
      </c>
      <c r="J490" s="190">
        <f ca="1">IFERROR(__xludf.DUMMYFUNCTION("IMPORTRANGE(""https://docs.google.com/spreadsheets/d/1SX6NBoVAgQJ6U1MVXOaj8PK2l7WJ3RER9xtqwdhxkhw/edit?usp=sharing"",""กาญจนบุรี!J385"")"),0)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IFERROR(__xludf.DUMMYFUNCTION("IMPORTRANGE(""https://docs.google.com/spreadsheets/d/1SX6NBoVAgQJ6U1MVXOaj8PK2l7WJ3RER9xtqwdhxkhw/edit?usp=sharing"",""กาญจนบุรี!I386"")"),0)</f>
        <v>0</v>
      </c>
      <c r="J491" s="190">
        <f ca="1">IFERROR(__xludf.DUMMYFUNCTION("IMPORTRANGE(""https://docs.google.com/spreadsheets/d/1SX6NBoVAgQJ6U1MVXOaj8PK2l7WJ3RER9xtqwdhxkhw/edit?usp=sharing"",""กาญจนบุรี!J386"")"),0)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IFERROR(__xludf.DUMMYFUNCTION("IMPORTRANGE(""https://docs.google.com/spreadsheets/d/1SX6NBoVAgQJ6U1MVXOaj8PK2l7WJ3RER9xtqwdhxkhw/edit?usp=sharing"",""กาญจนบุรี!I387"")"),0)</f>
        <v>0</v>
      </c>
      <c r="J492" s="190">
        <f ca="1">IFERROR(__xludf.DUMMYFUNCTION("IMPORTRANGE(""https://docs.google.com/spreadsheets/d/1SX6NBoVAgQJ6U1MVXOaj8PK2l7WJ3RER9xtqwdhxkhw/edit?usp=sharing"",""กาญจนบุรี!J387"")"),0)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IFERROR(__xludf.DUMMYFUNCTION("IMPORTRANGE(""https://docs.google.com/spreadsheets/d/1SX6NBoVAgQJ6U1MVXOaj8PK2l7WJ3RER9xtqwdhxkhw/edit?usp=sharing"",""กาญจนบุรี!I388"")"),0)</f>
        <v>0</v>
      </c>
      <c r="J493" s="190">
        <f ca="1">IFERROR(__xludf.DUMMYFUNCTION("IMPORTRANGE(""https://docs.google.com/spreadsheets/d/1SX6NBoVAgQJ6U1MVXOaj8PK2l7WJ3RER9xtqwdhxkhw/edit?usp=sharing"",""กาญจนบุรี!J388"")"),0)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IFERROR(__xludf.DUMMYFUNCTION("IMPORTRANGE(""https://docs.google.com/spreadsheets/d/1SX6NBoVAgQJ6U1MVXOaj8PK2l7WJ3RER9xtqwdhxkhw/edit?usp=sharing"",""กาญจนบุรี!I395"")"),0)</f>
        <v>0</v>
      </c>
      <c r="J500" s="164">
        <f ca="1">IFERROR(__xludf.DUMMYFUNCTION("IMPORTRANGE(""https://docs.google.com/spreadsheets/d/1SX6NBoVAgQJ6U1MVXOaj8PK2l7WJ3RER9xtqwdhxkhw/edit?usp=sharing"",""กาญจนบุรี!J395"")"),0)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IFERROR(__xludf.DUMMYFUNCTION("IMPORTRANGE(""https://docs.google.com/spreadsheets/d/1SX6NBoVAgQJ6U1MVXOaj8PK2l7WJ3RER9xtqwdhxkhw/edit?usp=sharing"",""กาญจนบุรี!I396"")"),0)</f>
        <v>0</v>
      </c>
      <c r="J501" s="164">
        <f ca="1">IFERROR(__xludf.DUMMYFUNCTION("IMPORTRANGE(""https://docs.google.com/spreadsheets/d/1SX6NBoVAgQJ6U1MVXOaj8PK2l7WJ3RER9xtqwdhxkhw/edit?usp=sharing"",""กาญจนบุรี!J396"")"),0)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IFERROR(__xludf.DUMMYFUNCTION("IMPORTRANGE(""https://docs.google.com/spreadsheets/d/1SX6NBoVAgQJ6U1MVXOaj8PK2l7WJ3RER9xtqwdhxkhw/edit?usp=sharing"",""กาญจนบุรี!I397"")"),0)</f>
        <v>0</v>
      </c>
      <c r="J502" s="190">
        <f ca="1">IFERROR(__xludf.DUMMYFUNCTION("IMPORTRANGE(""https://docs.google.com/spreadsheets/d/1SX6NBoVAgQJ6U1MVXOaj8PK2l7WJ3RER9xtqwdhxkhw/edit?usp=sharing"",""กาญจนบุรี!J397"")"),0)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IFERROR(__xludf.DUMMYFUNCTION("IMPORTRANGE(""https://docs.google.com/spreadsheets/d/1SX6NBoVAgQJ6U1MVXOaj8PK2l7WJ3RER9xtqwdhxkhw/edit?usp=sharing"",""กาญจนบุรี!I398"")"),0)</f>
        <v>0</v>
      </c>
      <c r="J503" s="199">
        <f ca="1">IFERROR(__xludf.DUMMYFUNCTION("IMPORTRANGE(""https://docs.google.com/spreadsheets/d/1SX6NBoVAgQJ6U1MVXOaj8PK2l7WJ3RER9xtqwdhxkhw/edit?usp=sharing"",""กาญจนบุรี!J398"")"),0)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IFERROR(__xludf.DUMMYFUNCTION("IMPORTRANGE(""https://docs.google.com/spreadsheets/d/1SX6NBoVAgQJ6U1MVXOaj8PK2l7WJ3RER9xtqwdhxkhw/edit?usp=sharing"",""กาญจนบุรี!I399"")"),0)</f>
        <v>0</v>
      </c>
      <c r="J504" s="190">
        <f ca="1">IFERROR(__xludf.DUMMYFUNCTION("IMPORTRANGE(""https://docs.google.com/spreadsheets/d/1SX6NBoVAgQJ6U1MVXOaj8PK2l7WJ3RER9xtqwdhxkhw/edit?usp=sharing"",""กาญจนบุรี!J399"")"),0)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IFERROR(__xludf.DUMMYFUNCTION("IMPORTRANGE(""https://docs.google.com/spreadsheets/d/1SX6NBoVAgQJ6U1MVXOaj8PK2l7WJ3RER9xtqwdhxkhw/edit?usp=sharing"",""กาญจนบุรี!I400"")"),0)</f>
        <v>0</v>
      </c>
      <c r="J505" s="199">
        <f ca="1">IFERROR(__xludf.DUMMYFUNCTION("IMPORTRANGE(""https://docs.google.com/spreadsheets/d/1SX6NBoVAgQJ6U1MVXOaj8PK2l7WJ3RER9xtqwdhxkhw/edit?usp=sharing"",""กาญจนบุรี!J400"")"),0)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IFERROR(__xludf.DUMMYFUNCTION("IMPORTRANGE(""https://docs.google.com/spreadsheets/d/1SX6NBoVAgQJ6U1MVXOaj8PK2l7WJ3RER9xtqwdhxkhw/edit?usp=sharing"",""กาญจนบุรี!I401"")"),0)</f>
        <v>0</v>
      </c>
      <c r="J506" s="190">
        <f ca="1">IFERROR(__xludf.DUMMYFUNCTION("IMPORTRANGE(""https://docs.google.com/spreadsheets/d/1SX6NBoVAgQJ6U1MVXOaj8PK2l7WJ3RER9xtqwdhxkhw/edit?usp=sharing"",""กาญจนบุรี!J401"")"),0)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IFERROR(__xludf.DUMMYFUNCTION("IMPORTRANGE(""https://docs.google.com/spreadsheets/d/1SX6NBoVAgQJ6U1MVXOaj8PK2l7WJ3RER9xtqwdhxkhw/edit?usp=sharing"",""กาญจนบุรี!I402"")"),0)</f>
        <v>0</v>
      </c>
      <c r="J507" s="199">
        <f ca="1">IFERROR(__xludf.DUMMYFUNCTION("IMPORTRANGE(""https://docs.google.com/spreadsheets/d/1SX6NBoVAgQJ6U1MVXOaj8PK2l7WJ3RER9xtqwdhxkhw/edit?usp=sharing"",""กาญจนบุรี!J402"")"),0)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IFERROR(__xludf.DUMMYFUNCTION("IMPORTRANGE(""https://docs.google.com/spreadsheets/d/1SX6NBoVAgQJ6U1MVXOaj8PK2l7WJ3RER9xtqwdhxkhw/edit?usp=sharing"",""กาญจนบุรี!I403"")"),0)</f>
        <v>0</v>
      </c>
      <c r="J508" s="164">
        <f ca="1">IFERROR(__xludf.DUMMYFUNCTION("IMPORTRANGE(""https://docs.google.com/spreadsheets/d/1SX6NBoVAgQJ6U1MVXOaj8PK2l7WJ3RER9xtqwdhxkhw/edit?usp=sharing"",""กาญจนบุรี!J403"")"),0)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IFERROR(__xludf.DUMMYFUNCTION("IMPORTRANGE(""https://docs.google.com/spreadsheets/d/1SX6NBoVAgQJ6U1MVXOaj8PK2l7WJ3RER9xtqwdhxkhw/edit?usp=sharing"",""กาญจนบุรี!I404"")"),0)</f>
        <v>0</v>
      </c>
      <c r="J509" s="164">
        <f ca="1">IFERROR(__xludf.DUMMYFUNCTION("IMPORTRANGE(""https://docs.google.com/spreadsheets/d/1SX6NBoVAgQJ6U1MVXOaj8PK2l7WJ3RER9xtqwdhxkhw/edit?usp=sharing"",""กาญจนบุรี!J404"")"),0)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IFERROR(__xludf.DUMMYFUNCTION("IMPORTRANGE(""https://docs.google.com/spreadsheets/d/1SX6NBoVAgQJ6U1MVXOaj8PK2l7WJ3RER9xtqwdhxkhw/edit?usp=sharing"",""กาญจนบุรี!I405"")"),0)</f>
        <v>0</v>
      </c>
      <c r="J510" s="199">
        <f ca="1">IFERROR(__xludf.DUMMYFUNCTION("IMPORTRANGE(""https://docs.google.com/spreadsheets/d/1SX6NBoVAgQJ6U1MVXOaj8PK2l7WJ3RER9xtqwdhxkhw/edit?usp=sharing"",""กาญจนบุรี!J405"")"),0)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IFERROR(__xludf.DUMMYFUNCTION("IMPORTRANGE(""https://docs.google.com/spreadsheets/d/1SX6NBoVAgQJ6U1MVXOaj8PK2l7WJ3RER9xtqwdhxkhw/edit?usp=sharing"",""กาญจนบุรี!I406"")"),0)</f>
        <v>0</v>
      </c>
      <c r="J511" s="199">
        <f ca="1">IFERROR(__xludf.DUMMYFUNCTION("IMPORTRANGE(""https://docs.google.com/spreadsheets/d/1SX6NBoVAgQJ6U1MVXOaj8PK2l7WJ3RER9xtqwdhxkhw/edit?usp=sharing"",""กาญจนบุรี!J406"")"),0)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IFERROR(__xludf.DUMMYFUNCTION("IMPORTRANGE(""https://docs.google.com/spreadsheets/d/1SX6NBoVAgQJ6U1MVXOaj8PK2l7WJ3RER9xtqwdhxkhw/edit?usp=sharing"",""กาญจนบุรี!I407"")"),0)</f>
        <v>0</v>
      </c>
      <c r="J512" s="199">
        <f ca="1">IFERROR(__xludf.DUMMYFUNCTION("IMPORTRANGE(""https://docs.google.com/spreadsheets/d/1SX6NBoVAgQJ6U1MVXOaj8PK2l7WJ3RER9xtqwdhxkhw/edit?usp=sharing"",""กาญจนบุรี!J407"")"),0)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IFERROR(__xludf.DUMMYFUNCTION("IMPORTRANGE(""https://docs.google.com/spreadsheets/d/1SX6NBoVAgQJ6U1MVXOaj8PK2l7WJ3RER9xtqwdhxkhw/edit?usp=sharing"",""กาญจนบุรี!I408"")"),0)</f>
        <v>0</v>
      </c>
      <c r="J513" s="199">
        <f ca="1">IFERROR(__xludf.DUMMYFUNCTION("IMPORTRANGE(""https://docs.google.com/spreadsheets/d/1SX6NBoVAgQJ6U1MVXOaj8PK2l7WJ3RER9xtqwdhxkhw/edit?usp=sharing"",""กาญจนบุรี!J408"")"),0)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IFERROR(__xludf.DUMMYFUNCTION("IMPORTRANGE(""https://docs.google.com/spreadsheets/d/1SX6NBoVAgQJ6U1MVXOaj8PK2l7WJ3RER9xtqwdhxkhw/edit?usp=sharing"",""กาญจนบุรี!I409"")"),0)</f>
        <v>0</v>
      </c>
      <c r="J514" s="199">
        <f ca="1">IFERROR(__xludf.DUMMYFUNCTION("IMPORTRANGE(""https://docs.google.com/spreadsheets/d/1SX6NBoVAgQJ6U1MVXOaj8PK2l7WJ3RER9xtqwdhxkhw/edit?usp=sharing"",""กาญจนบุรี!J409"")"),0)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IFERROR(__xludf.DUMMYFUNCTION("IMPORTRANGE(""https://docs.google.com/spreadsheets/d/1SX6NBoVAgQJ6U1MVXOaj8PK2l7WJ3RER9xtqwdhxkhw/edit?usp=sharing"",""กาญจนบุรี!I410"")"),0)</f>
        <v>0</v>
      </c>
      <c r="J515" s="199">
        <f ca="1">IFERROR(__xludf.DUMMYFUNCTION("IMPORTRANGE(""https://docs.google.com/spreadsheets/d/1SX6NBoVAgQJ6U1MVXOaj8PK2l7WJ3RER9xtqwdhxkhw/edit?usp=sharing"",""กาญจนบุรี!J410"")"),0)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IFERROR(__xludf.DUMMYFUNCTION("IMPORTRANGE(""https://docs.google.com/spreadsheets/d/1SX6NBoVAgQJ6U1MVXOaj8PK2l7WJ3RER9xtqwdhxkhw/edit?usp=sharing"",""กาญจนบุรี!I412"")"),0)</f>
        <v>0</v>
      </c>
      <c r="J517" s="284">
        <f ca="1">IFERROR(__xludf.DUMMYFUNCTION("IMPORTRANGE(""https://docs.google.com/spreadsheets/d/1SX6NBoVAgQJ6U1MVXOaj8PK2l7WJ3RER9xtqwdhxkhw/edit?usp=sharing"",""กาญจนบุรี!J412"")"),0)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IFERROR(__xludf.DUMMYFUNCTION("IMPORTRANGE(""https://docs.google.com/spreadsheets/d/1SX6NBoVAgQJ6U1MVXOaj8PK2l7WJ3RER9xtqwdhxkhw/edit?usp=sharing"",""กาญจนบุรี!I413"")"),0)</f>
        <v>0</v>
      </c>
      <c r="J518" s="284">
        <f ca="1">IFERROR(__xludf.DUMMYFUNCTION("IMPORTRANGE(""https://docs.google.com/spreadsheets/d/1SX6NBoVAgQJ6U1MVXOaj8PK2l7WJ3RER9xtqwdhxkhw/edit?usp=sharing"",""กาญจนบุรี!J413"")"),0)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IFERROR(__xludf.DUMMYFUNCTION("IMPORTRANGE(""https://docs.google.com/spreadsheets/d/1SX6NBoVAgQJ6U1MVXOaj8PK2l7WJ3RER9xtqwdhxkhw/edit?usp=sharing"",""กาญจนบุรี!I414"")"),0)</f>
        <v>0</v>
      </c>
      <c r="J519" s="189">
        <f ca="1">IFERROR(__xludf.DUMMYFUNCTION("IMPORTRANGE(""https://docs.google.com/spreadsheets/d/1SX6NBoVAgQJ6U1MVXOaj8PK2l7WJ3RER9xtqwdhxkhw/edit?usp=sharing"",""กาญจนบุรี!J414"")"),0)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IFERROR(__xludf.DUMMYFUNCTION("IMPORTRANGE(""https://docs.google.com/spreadsheets/d/1SX6NBoVAgQJ6U1MVXOaj8PK2l7WJ3RER9xtqwdhxkhw/edit?usp=sharing"",""กาญจนบุรี!I415"")"),0)</f>
        <v>0</v>
      </c>
      <c r="J520" s="189">
        <f ca="1">IFERROR(__xludf.DUMMYFUNCTION("IMPORTRANGE(""https://docs.google.com/spreadsheets/d/1SX6NBoVAgQJ6U1MVXOaj8PK2l7WJ3RER9xtqwdhxkhw/edit?usp=sharing"",""กาญจนบุรี!J415"")"),0)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IFERROR(__xludf.DUMMYFUNCTION("IMPORTRANGE(""https://docs.google.com/spreadsheets/d/1SX6NBoVAgQJ6U1MVXOaj8PK2l7WJ3RER9xtqwdhxkhw/edit?usp=sharing"",""กาญจนบุรี!I416"")"),0)</f>
        <v>0</v>
      </c>
      <c r="J521" s="189">
        <f ca="1">IFERROR(__xludf.DUMMYFUNCTION("IMPORTRANGE(""https://docs.google.com/spreadsheets/d/1SX6NBoVAgQJ6U1MVXOaj8PK2l7WJ3RER9xtqwdhxkhw/edit?usp=sharing"",""กาญจนบุรี!J416"")"),0)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IFERROR(__xludf.DUMMYFUNCTION("IMPORTRANGE(""https://docs.google.com/spreadsheets/d/1SX6NBoVAgQJ6U1MVXOaj8PK2l7WJ3RER9xtqwdhxkhw/edit?usp=sharing"",""กาญจนบุรี!I417"")"),0)</f>
        <v>0</v>
      </c>
      <c r="J522" s="189">
        <f ca="1">IFERROR(__xludf.DUMMYFUNCTION("IMPORTRANGE(""https://docs.google.com/spreadsheets/d/1SX6NBoVAgQJ6U1MVXOaj8PK2l7WJ3RER9xtqwdhxkhw/edit?usp=sharing"",""กาญจนบุรี!J417"")"),0)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IFERROR(__xludf.DUMMYFUNCTION("IMPORTRANGE(""https://docs.google.com/spreadsheets/d/1SX6NBoVAgQJ6U1MVXOaj8PK2l7WJ3RER9xtqwdhxkhw/edit?usp=sharing"",""กาญจนบุรี!I418"")"),0)</f>
        <v>0</v>
      </c>
      <c r="J523" s="189">
        <f ca="1">IFERROR(__xludf.DUMMYFUNCTION("IMPORTRANGE(""https://docs.google.com/spreadsheets/d/1SX6NBoVAgQJ6U1MVXOaj8PK2l7WJ3RER9xtqwdhxkhw/edit?usp=sharing"",""กาญจนบุรี!J418"")"),988)</f>
        <v>988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IFERROR(__xludf.DUMMYFUNCTION("IMPORTRANGE(""https://docs.google.com/spreadsheets/d/1SX6NBoVAgQJ6U1MVXOaj8PK2l7WJ3RER9xtqwdhxkhw/edit?usp=sharing"",""กาญจนบุรี!I419"")"),0)</f>
        <v>0</v>
      </c>
      <c r="J524" s="189">
        <f ca="1">IFERROR(__xludf.DUMMYFUNCTION("IMPORTRANGE(""https://docs.google.com/spreadsheets/d/1SX6NBoVAgQJ6U1MVXOaj8PK2l7WJ3RER9xtqwdhxkhw/edit?usp=sharing"",""กาญจนบุรี!J419"")"),56)</f>
        <v>56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IFERROR(__xludf.DUMMYFUNCTION("IMPORTRANGE(""https://docs.google.com/spreadsheets/d/1SX6NBoVAgQJ6U1MVXOaj8PK2l7WJ3RER9xtqwdhxkhw/edit?usp=sharing"",""กาญจนบุรี!I420"")"),988)</f>
        <v>988</v>
      </c>
      <c r="J525" s="284">
        <f ca="1">IFERROR(__xludf.DUMMYFUNCTION("IMPORTRANGE(""https://docs.google.com/spreadsheets/d/1SX6NBoVAgQJ6U1MVXOaj8PK2l7WJ3RER9xtqwdhxkhw/edit?usp=sharing"",""กาญจนบุรี!J420"")"),0)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IFERROR(__xludf.DUMMYFUNCTION("IMPORTRANGE(""https://docs.google.com/spreadsheets/d/1SX6NBoVAgQJ6U1MVXOaj8PK2l7WJ3RER9xtqwdhxkhw/edit?usp=sharing"",""กาญจนบุรี!I421"")"),56)</f>
        <v>56</v>
      </c>
      <c r="J526" s="284">
        <f ca="1">IFERROR(__xludf.DUMMYFUNCTION("IMPORTRANGE(""https://docs.google.com/spreadsheets/d/1SX6NBoVAgQJ6U1MVXOaj8PK2l7WJ3RER9xtqwdhxkhw/edit?usp=sharing"",""กาญจนบุรี!J421"")"),0)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IFERROR(__xludf.DUMMYFUNCTION("IMPORTRANGE(""https://docs.google.com/spreadsheets/d/1SX6NBoVAgQJ6U1MVXOaj8PK2l7WJ3RER9xtqwdhxkhw/edit?usp=sharing"",""กาญจนบุรี!I422"")"),0)</f>
        <v>0</v>
      </c>
      <c r="J527" s="199">
        <f ca="1">IFERROR(__xludf.DUMMYFUNCTION("IMPORTRANGE(""https://docs.google.com/spreadsheets/d/1SX6NBoVAgQJ6U1MVXOaj8PK2l7WJ3RER9xtqwdhxkhw/edit?usp=sharing"",""กาญจนบุรี!J422"")"),0)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IFERROR(__xludf.DUMMYFUNCTION("IMPORTRANGE(""https://docs.google.com/spreadsheets/d/1SX6NBoVAgQJ6U1MVXOaj8PK2l7WJ3RER9xtqwdhxkhw/edit?usp=sharing"",""กาญจนบุรี!I423"")"),0)</f>
        <v>0</v>
      </c>
      <c r="J528" s="199">
        <f ca="1">IFERROR(__xludf.DUMMYFUNCTION("IMPORTRANGE(""https://docs.google.com/spreadsheets/d/1SX6NBoVAgQJ6U1MVXOaj8PK2l7WJ3RER9xtqwdhxkhw/edit?usp=sharing"",""กาญจนบุรี!J423"")"),0)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IFERROR(__xludf.DUMMYFUNCTION("IMPORTRANGE(""https://docs.google.com/spreadsheets/d/1SX6NBoVAgQJ6U1MVXOaj8PK2l7WJ3RER9xtqwdhxkhw/edit?usp=sharing"",""กาญจนบุรี!I424"")"),0)</f>
        <v>0</v>
      </c>
      <c r="J529" s="199">
        <f ca="1">IFERROR(__xludf.DUMMYFUNCTION("IMPORTRANGE(""https://docs.google.com/spreadsheets/d/1SX6NBoVAgQJ6U1MVXOaj8PK2l7WJ3RER9xtqwdhxkhw/edit?usp=sharing"",""กาญจนบุรี!J424"")"),0)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IFERROR(__xludf.DUMMYFUNCTION("IMPORTRANGE(""https://docs.google.com/spreadsheets/d/1SX6NBoVAgQJ6U1MVXOaj8PK2l7WJ3RER9xtqwdhxkhw/edit?usp=sharing"",""กาญจนบุรี!I425"")"),0)</f>
        <v>0</v>
      </c>
      <c r="J530" s="199">
        <f ca="1">IFERROR(__xludf.DUMMYFUNCTION("IMPORTRANGE(""https://docs.google.com/spreadsheets/d/1SX6NBoVAgQJ6U1MVXOaj8PK2l7WJ3RER9xtqwdhxkhw/edit?usp=sharing"",""กาญจนบุรี!J425"")"),0)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IFERROR(__xludf.DUMMYFUNCTION("IMPORTRANGE(""https://docs.google.com/spreadsheets/d/1SX6NBoVAgQJ6U1MVXOaj8PK2l7WJ3RER9xtqwdhxkhw/edit?usp=sharing"",""กาญจนบุรี!I426"")"),0)</f>
        <v>0</v>
      </c>
      <c r="J531" s="199">
        <f ca="1">IFERROR(__xludf.DUMMYFUNCTION("IMPORTRANGE(""https://docs.google.com/spreadsheets/d/1SX6NBoVAgQJ6U1MVXOaj8PK2l7WJ3RER9xtqwdhxkhw/edit?usp=sharing"",""กาญจนบุรี!J426"")"),0)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IFERROR(__xludf.DUMMYFUNCTION("IMPORTRANGE(""https://docs.google.com/spreadsheets/d/1SX6NBoVAgQJ6U1MVXOaj8PK2l7WJ3RER9xtqwdhxkhw/edit?usp=sharing"",""กาญจนบุรี!M428"")"),0)</f>
        <v>0</v>
      </c>
      <c r="O533" s="412">
        <f t="shared" ref="O533:O537" ca="1" si="118">+IF(L533&gt;0,N533*100/L533,0)</f>
        <v>0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IFERROR(__xludf.DUMMYFUNCTION("IMPORTRANGE(""https://docs.google.com/spreadsheets/d/1SX6NBoVAgQJ6U1MVXOaj8PK2l7WJ3RER9xtqwdhxkhw/edit?usp=sharing"",""กาญจนบุรี!L429"")"),0)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IFERROR(__xludf.DUMMYFUNCTION("IMPORTRANGE(""https://docs.google.com/spreadsheets/d/1SX6NBoVAgQJ6U1MVXOaj8PK2l7WJ3RER9xtqwdhxkhw/edit?usp=sharing"",""กาญจนบุรี!M429"")"),0)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IFERROR(__xludf.DUMMYFUNCTION("IMPORTRANGE(""https://docs.google.com/spreadsheets/d/1SX6NBoVAgQJ6U1MVXOaj8PK2l7WJ3RER9xtqwdhxkhw/edit?usp=sharing"",""กาญจนบุรี!L430"")"),39440)</f>
        <v>39440</v>
      </c>
      <c r="M535" s="167"/>
      <c r="N535" s="170">
        <f ca="1">IFERROR(__xludf.DUMMYFUNCTION("IMPORTRANGE(""https://docs.google.com/spreadsheets/d/1SX6NBoVAgQJ6U1MVXOaj8PK2l7WJ3RER9xtqwdhxkhw/edit?usp=sharing"",""กาญจนบุรี!M430"")"),0)</f>
        <v>0</v>
      </c>
      <c r="O535" s="170">
        <f t="shared" ca="1" si="118"/>
        <v>0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IFERROR(__xludf.DUMMYFUNCTION("IMPORTRANGE(""https://docs.google.com/spreadsheets/d/1SX6NBoVAgQJ6U1MVXOaj8PK2l7WJ3RER9xtqwdhxkhw/edit?usp=sharing"",""กาญจนบุรี!L431"")"),0)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IFERROR(__xludf.DUMMYFUNCTION("IMPORTRANGE(""https://docs.google.com/spreadsheets/d/1SX6NBoVAgQJ6U1MVXOaj8PK2l7WJ3RER9xtqwdhxkhw/edit?usp=sharing"",""กาญจนบุรี!M431"")"),0)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IFERROR(__xludf.DUMMYFUNCTION("IMPORTRANGE(""https://docs.google.com/spreadsheets/d/1SX6NBoVAgQJ6U1MVXOaj8PK2l7WJ3RER9xtqwdhxkhw/edit?usp=sharing"",""กาญจนบุรี!L432"")"),39440)</f>
        <v>39440</v>
      </c>
      <c r="M537" s="170"/>
      <c r="N537" s="170">
        <f ca="1">IFERROR(__xludf.DUMMYFUNCTION("IMPORTRANGE(""https://docs.google.com/spreadsheets/d/1SX6NBoVAgQJ6U1MVXOaj8PK2l7WJ3RER9xtqwdhxkhw/edit?usp=sharing"",""กาญจนบุรี!M432"")"),0)</f>
        <v>0</v>
      </c>
      <c r="O537" s="170">
        <f t="shared" ca="1" si="118"/>
        <v>0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IFERROR(__xludf.DUMMYFUNCTION("IMPORTRANGE(""https://docs.google.com/spreadsheets/d/1SX6NBoVAgQJ6U1MVXOaj8PK2l7WJ3RER9xtqwdhxkhw/edit?usp=sharing"",""กาญจนบุรี!M433"")"),0)</f>
        <v>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IFERROR(__xludf.DUMMYFUNCTION("IMPORTRANGE(""https://docs.google.com/spreadsheets/d/1SX6NBoVAgQJ6U1MVXOaj8PK2l7WJ3RER9xtqwdhxkhw/edit?usp=sharing"",""กาญจนบุรี!M436"")"),0)</f>
        <v>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IFERROR(__xludf.DUMMYFUNCTION("IMPORTRANGE(""https://docs.google.com/spreadsheets/d/1SX6NBoVAgQJ6U1MVXOaj8PK2l7WJ3RER9xtqwdhxkhw/edit?usp=sharing"",""กาญจนบุรี!J438"")"),0)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IFERROR(__xludf.DUMMYFUNCTION("IMPORTRANGE(""https://docs.google.com/spreadsheets/d/1SX6NBoVAgQJ6U1MVXOaj8PK2l7WJ3RER9xtqwdhxkhw/edit?usp=sharing"",""กาญจนบุรี!J439"")"),1)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IFERROR(__xludf.DUMMYFUNCTION("IMPORTRANGE(""https://docs.google.com/spreadsheets/d/1SX6NBoVAgQJ6U1MVXOaj8PK2l7WJ3RER9xtqwdhxkhw/edit?usp=sharing"",""กาญจนบุรี!J440"")"),1)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IFERROR(__xludf.DUMMYFUNCTION("IMPORTRANGE(""https://docs.google.com/spreadsheets/d/1SX6NBoVAgQJ6U1MVXOaj8PK2l7WJ3RER9xtqwdhxkhw/edit?usp=sharing"",""กาญจนบุรี!J441"")"),1)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IFERROR(__xludf.DUMMYFUNCTION("IMPORTRANGE(""https://docs.google.com/spreadsheets/d/1SX6NBoVAgQJ6U1MVXOaj8PK2l7WJ3RER9xtqwdhxkhw/edit?usp=sharing"",""กาญจนบุรี!I442"")"),28)</f>
        <v>28</v>
      </c>
      <c r="J547" s="190">
        <f ca="1">IFERROR(__xludf.DUMMYFUNCTION("IMPORTRANGE(""https://docs.google.com/spreadsheets/d/1SX6NBoVAgQJ6U1MVXOaj8PK2l7WJ3RER9xtqwdhxkhw/edit?usp=sharing"",""กาญจนบุรี!J442"")"),0)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IFERROR(__xludf.DUMMYFUNCTION("IMPORTRANGE(""https://docs.google.com/spreadsheets/d/1SX6NBoVAgQJ6U1MVXOaj8PK2l7WJ3RER9xtqwdhxkhw/edit?usp=sharing"",""กาญจนบุรี!J166"")"),0)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IFERROR(__xludf.DUMMYFUNCTION("IMPORTRANGE(""https://docs.google.com/spreadsheets/d/1SX6NBoVAgQJ6U1MVXOaj8PK2l7WJ3RER9xtqwdhxkhw/edit?usp=sharing"",""กาญจนบุรี!J444"")"),0)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IFERROR(__xludf.DUMMYFUNCTION("IMPORTRANGE(""https://docs.google.com/spreadsheets/d/1SX6NBoVAgQJ6U1MVXOaj8PK2l7WJ3RER9xtqwdhxkhw/edit?usp=sharing"",""กาญจนบุรี!M446"")"),41785)</f>
        <v>41785</v>
      </c>
      <c r="O551" s="412">
        <f t="shared" ref="O551:O555" ca="1" si="120">+IF(L551&gt;0,N551*100/L551,0)</f>
        <v>21.103535353535353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IFERROR(__xludf.DUMMYFUNCTION("IMPORTRANGE(""https://docs.google.com/spreadsheets/d/1SX6NBoVAgQJ6U1MVXOaj8PK2l7WJ3RER9xtqwdhxkhw/edit?usp=sharing"",""กาญจนบุรี!L447"")"),0)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IFERROR(__xludf.DUMMYFUNCTION("IMPORTRANGE(""https://docs.google.com/spreadsheets/d/1SX6NBoVAgQJ6U1MVXOaj8PK2l7WJ3RER9xtqwdhxkhw/edit?usp=sharing"",""กาญจนบุรี!M447"")"),0)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IFERROR(__xludf.DUMMYFUNCTION("IMPORTRANGE(""https://docs.google.com/spreadsheets/d/1SX6NBoVAgQJ6U1MVXOaj8PK2l7WJ3RER9xtqwdhxkhw/edit?usp=sharing"",""กาญจนบุรี!L448"")"),198000)</f>
        <v>198000</v>
      </c>
      <c r="M553" s="167"/>
      <c r="N553" s="170">
        <f ca="1">IFERROR(__xludf.DUMMYFUNCTION("IMPORTRANGE(""https://docs.google.com/spreadsheets/d/1SX6NBoVAgQJ6U1MVXOaj8PK2l7WJ3RER9xtqwdhxkhw/edit?usp=sharing"",""กาญจนบุรี!M448"")"),41785)</f>
        <v>41785</v>
      </c>
      <c r="O553" s="170">
        <f t="shared" ca="1" si="120"/>
        <v>21.103535353535353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IFERROR(__xludf.DUMMYFUNCTION("IMPORTRANGE(""https://docs.google.com/spreadsheets/d/1SX6NBoVAgQJ6U1MVXOaj8PK2l7WJ3RER9xtqwdhxkhw/edit?usp=sharing"",""กาญจนบุรี!L449"")"),0)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IFERROR(__xludf.DUMMYFUNCTION("IMPORTRANGE(""https://docs.google.com/spreadsheets/d/1SX6NBoVAgQJ6U1MVXOaj8PK2l7WJ3RER9xtqwdhxkhw/edit?usp=sharing"",""กาญจนบุรี!M449"")"),0)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IFERROR(__xludf.DUMMYFUNCTION("IMPORTRANGE(""https://docs.google.com/spreadsheets/d/1SX6NBoVAgQJ6U1MVXOaj8PK2l7WJ3RER9xtqwdhxkhw/edit?usp=sharing"",""กาญจนบุรี!L450"")"),198000)</f>
        <v>198000</v>
      </c>
      <c r="M555" s="170"/>
      <c r="N555" s="170">
        <f ca="1">IFERROR(__xludf.DUMMYFUNCTION("IMPORTRANGE(""https://docs.google.com/spreadsheets/d/1SX6NBoVAgQJ6U1MVXOaj8PK2l7WJ3RER9xtqwdhxkhw/edit?usp=sharing"",""กาญจนบุรี!M450"")"),41785)</f>
        <v>41785</v>
      </c>
      <c r="O555" s="170">
        <f t="shared" ca="1" si="120"/>
        <v>21.103535353535353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IFERROR(__xludf.DUMMYFUNCTION("IMPORTRANGE(""https://docs.google.com/spreadsheets/d/1SX6NBoVAgQJ6U1MVXOaj8PK2l7WJ3RER9xtqwdhxkhw/edit?usp=sharing"",""กาญจนบุรี!M451"")"),0)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IFERROR(__xludf.DUMMYFUNCTION("IMPORTRANGE(""https://docs.google.com/spreadsheets/d/1SX6NBoVAgQJ6U1MVXOaj8PK2l7WJ3RER9xtqwdhxkhw/edit?usp=sharing"",""กาญจนบุรี!M452"")"),0)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IFERROR(__xludf.DUMMYFUNCTION("IMPORTRANGE(""https://docs.google.com/spreadsheets/d/1SX6NBoVAgQJ6U1MVXOaj8PK2l7WJ3RER9xtqwdhxkhw/edit?usp=sharing"",""กาญจนบุรี!M453"")"),0)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IFERROR(__xludf.DUMMYFUNCTION("IMPORTRANGE(""https://docs.google.com/spreadsheets/d/1SX6NBoVAgQJ6U1MVXOaj8PK2l7WJ3RER9xtqwdhxkhw/edit?usp=sharing"",""กาญจนบุรี!M454"")"),41785)</f>
        <v>41785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IFERROR(__xludf.DUMMYFUNCTION("IMPORTRANGE(""https://docs.google.com/spreadsheets/d/1SX6NBoVAgQJ6U1MVXOaj8PK2l7WJ3RER9xtqwdhxkhw/edit?usp=sharing"",""กาญจนบุรี!I455"")"),3000)</f>
        <v>3000</v>
      </c>
      <c r="J560" s="164">
        <f ca="1">IFERROR(__xludf.DUMMYFUNCTION("IMPORTRANGE(""https://docs.google.com/spreadsheets/d/1SX6NBoVAgQJ6U1MVXOaj8PK2l7WJ3RER9xtqwdhxkhw/edit?usp=sharing"",""กาญจนบุรี!J455"")"),0)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IFERROR(__xludf.DUMMYFUNCTION("IMPORTRANGE(""https://docs.google.com/spreadsheets/d/1SX6NBoVAgQJ6U1MVXOaj8PK2l7WJ3RER9xtqwdhxkhw/edit?usp=sharing"",""กาญจนบุรี!I456"")"),0)</f>
        <v>0</v>
      </c>
      <c r="J561" s="205">
        <f ca="1">IFERROR(__xludf.DUMMYFUNCTION("IMPORTRANGE(""https://docs.google.com/spreadsheets/d/1SX6NBoVAgQJ6U1MVXOaj8PK2l7WJ3RER9xtqwdhxkhw/edit?usp=sharing"",""กาญจนบุรี!J456"")"),0)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IFERROR(__xludf.DUMMYFUNCTION("IMPORTRANGE(""https://docs.google.com/spreadsheets/d/1SX6NBoVAgQJ6U1MVXOaj8PK2l7WJ3RER9xtqwdhxkhw/edit?usp=sharing"",""กาญจนบุรี!I457"")"),0)</f>
        <v>0</v>
      </c>
      <c r="J562" s="205" t="str">
        <f ca="1">IFERROR(__xludf.DUMMYFUNCTION("IMPORTRANGE(""https://docs.google.com/spreadsheets/d/1SX6NBoVAgQJ6U1MVXOaj8PK2l7WJ3RER9xtqwdhxkhw/edit?usp=sharing"",""กาญจนบุรี!J457"")"),"")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IFERROR(__xludf.DUMMYFUNCTION("IMPORTRANGE(""https://docs.google.com/spreadsheets/d/1SX6NBoVAgQJ6U1MVXOaj8PK2l7WJ3RER9xtqwdhxkhw/edit?usp=sharing"",""กาญจนบุรี!I458"")"),0)</f>
        <v>0</v>
      </c>
      <c r="J563" s="189" t="str">
        <f ca="1">IFERROR(__xludf.DUMMYFUNCTION("IMPORTRANGE(""https://docs.google.com/spreadsheets/d/1SX6NBoVAgQJ6U1MVXOaj8PK2l7WJ3RER9xtqwdhxkhw/edit?usp=sharing"",""กาญจนบุรี!J458"")"),"")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IFERROR(__xludf.DUMMYFUNCTION("IMPORTRANGE(""https://docs.google.com/spreadsheets/d/1SX6NBoVAgQJ6U1MVXOaj8PK2l7WJ3RER9xtqwdhxkhw/edit?usp=sharing"",""กาญจนบุรี!J459"")"),1256)</f>
        <v>1256</v>
      </c>
      <c r="K564" s="372">
        <f t="shared" ca="1" si="121"/>
        <v>66.10526315789474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IFERROR(__xludf.DUMMYFUNCTION("IMPORTRANGE(""https://docs.google.com/spreadsheets/d/1SX6NBoVAgQJ6U1MVXOaj8PK2l7WJ3RER9xtqwdhxkhw/edit?usp=sharing"",""กาญจนบุรี!M459"")"),63709)</f>
        <v>63709</v>
      </c>
      <c r="O564" s="373">
        <f t="shared" ref="O564:O568" ca="1" si="122">+IF(L564&gt;0,N564*100/L564,0)</f>
        <v>46.165942028985505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IFERROR(__xludf.DUMMYFUNCTION("IMPORTRANGE(""https://docs.google.com/spreadsheets/d/1SX6NBoVAgQJ6U1MVXOaj8PK2l7WJ3RER9xtqwdhxkhw/edit?usp=sharing"",""กาญจนบุรี!L460"")"),0)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IFERROR(__xludf.DUMMYFUNCTION("IMPORTRANGE(""https://docs.google.com/spreadsheets/d/1SX6NBoVAgQJ6U1MVXOaj8PK2l7WJ3RER9xtqwdhxkhw/edit?usp=sharing"",""กาญจนบุรี!M460"")"),0)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IFERROR(__xludf.DUMMYFUNCTION("IMPORTRANGE(""https://docs.google.com/spreadsheets/d/1SX6NBoVAgQJ6U1MVXOaj8PK2l7WJ3RER9xtqwdhxkhw/edit?usp=sharing"",""กาญจนบุรี!L461"")"),138000)</f>
        <v>138000</v>
      </c>
      <c r="M566" s="167"/>
      <c r="N566" s="170">
        <f ca="1">IFERROR(__xludf.DUMMYFUNCTION("IMPORTRANGE(""https://docs.google.com/spreadsheets/d/1SX6NBoVAgQJ6U1MVXOaj8PK2l7WJ3RER9xtqwdhxkhw/edit?usp=sharing"",""กาญจนบุรี!M461"")"),63709)</f>
        <v>63709</v>
      </c>
      <c r="O566" s="170">
        <f t="shared" ca="1" si="122"/>
        <v>46.165942028985505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IFERROR(__xludf.DUMMYFUNCTION("IMPORTRANGE(""https://docs.google.com/spreadsheets/d/1SX6NBoVAgQJ6U1MVXOaj8PK2l7WJ3RER9xtqwdhxkhw/edit?usp=sharing"",""กาญจนบุรี!L462"")"),0)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IFERROR(__xludf.DUMMYFUNCTION("IMPORTRANGE(""https://docs.google.com/spreadsheets/d/1SX6NBoVAgQJ6U1MVXOaj8PK2l7WJ3RER9xtqwdhxkhw/edit?usp=sharing"",""กาญจนบุรี!M462"")"),0)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IFERROR(__xludf.DUMMYFUNCTION("IMPORTRANGE(""https://docs.google.com/spreadsheets/d/1SX6NBoVAgQJ6U1MVXOaj8PK2l7WJ3RER9xtqwdhxkhw/edit?usp=sharing"",""กาญจนบุรี!L463"")"),138000)</f>
        <v>138000</v>
      </c>
      <c r="M568" s="170"/>
      <c r="N568" s="170">
        <f ca="1">IFERROR(__xludf.DUMMYFUNCTION("IMPORTRANGE(""https://docs.google.com/spreadsheets/d/1SX6NBoVAgQJ6U1MVXOaj8PK2l7WJ3RER9xtqwdhxkhw/edit?usp=sharing"",""กาญจนบุรี!M463"")"),63709)</f>
        <v>63709</v>
      </c>
      <c r="O568" s="170">
        <f t="shared" ca="1" si="122"/>
        <v>46.165942028985505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IFERROR(__xludf.DUMMYFUNCTION("IMPORTRANGE(""https://docs.google.com/spreadsheets/d/1SX6NBoVAgQJ6U1MVXOaj8PK2l7WJ3RER9xtqwdhxkhw/edit?usp=sharing"",""กาญจนบุรี!M464"")"),0)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IFERROR(__xludf.DUMMYFUNCTION("IMPORTRANGE(""https://docs.google.com/spreadsheets/d/1SX6NBoVAgQJ6U1MVXOaj8PK2l7WJ3RER9xtqwdhxkhw/edit?usp=sharing"",""กาญจนบุรี!M465"")"),0)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IFERROR(__xludf.DUMMYFUNCTION("IMPORTRANGE(""https://docs.google.com/spreadsheets/d/1SX6NBoVAgQJ6U1MVXOaj8PK2l7WJ3RER9xtqwdhxkhw/edit?usp=sharing"",""กาญจนบุรี!M466"")"),42909)</f>
        <v>42909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IFERROR(__xludf.DUMMYFUNCTION("IMPORTRANGE(""https://docs.google.com/spreadsheets/d/1SX6NBoVAgQJ6U1MVXOaj8PK2l7WJ3RER9xtqwdhxkhw/edit?usp=sharing"",""กาญจนบุรี!M467"")"),20800)</f>
        <v>20800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IFERROR(__xludf.DUMMYFUNCTION("IMPORTRANGE(""https://docs.google.com/spreadsheets/d/1SX6NBoVAgQJ6U1MVXOaj8PK2l7WJ3RER9xtqwdhxkhw/edit?usp=sharing"",""กาญจนบุรี!J468"")"),1256)</f>
        <v>1256</v>
      </c>
      <c r="K573" s="203">
        <f ca="1">IF(I573&gt;0,J573*100/I573,0)</f>
        <v>66.10526315789474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IFERROR(__xludf.DUMMYFUNCTION("IMPORTRANGE(""https://docs.google.com/spreadsheets/d/1SX6NBoVAgQJ6U1MVXOaj8PK2l7WJ3RER9xtqwdhxkhw/edit?usp=sharing"",""กาญจนบุรี!I470"")"),0)</f>
        <v>0</v>
      </c>
      <c r="J575" s="199">
        <f ca="1">IFERROR(__xludf.DUMMYFUNCTION("IMPORTRANGE(""https://docs.google.com/spreadsheets/d/1SX6NBoVAgQJ6U1MVXOaj8PK2l7WJ3RER9xtqwdhxkhw/edit?usp=sharing"",""กาญจนบุรี!J470"")"),5)</f>
        <v>5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IFERROR(__xludf.DUMMYFUNCTION("IMPORTRANGE(""https://docs.google.com/spreadsheets/d/1SX6NBoVAgQJ6U1MVXOaj8PK2l7WJ3RER9xtqwdhxkhw/edit?usp=sharing"",""กาญจนบุรี!I471"")"),0)</f>
        <v>0</v>
      </c>
      <c r="J576" s="199">
        <f ca="1">IFERROR(__xludf.DUMMYFUNCTION("IMPORTRANGE(""https://docs.google.com/spreadsheets/d/1SX6NBoVAgQJ6U1MVXOaj8PK2l7WJ3RER9xtqwdhxkhw/edit?usp=sharing"",""กาญจนบุรี!J471"")"),323)</f>
        <v>323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IFERROR(__xludf.DUMMYFUNCTION("IMPORTRANGE(""https://docs.google.com/spreadsheets/d/1SX6NBoVAgQJ6U1MVXOaj8PK2l7WJ3RER9xtqwdhxkhw/edit?usp=sharing"",""กาญจนบุรี!I472"")"),0)</f>
        <v>0</v>
      </c>
      <c r="J577" s="190">
        <f ca="1">IFERROR(__xludf.DUMMYFUNCTION("IMPORTRANGE(""https://docs.google.com/spreadsheets/d/1SX6NBoVAgQJ6U1MVXOaj8PK2l7WJ3RER9xtqwdhxkhw/edit?usp=sharing"",""กาญจนบุรี!J472"")"),933)</f>
        <v>933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IFERROR(__xludf.DUMMYFUNCTION("IMPORTRANGE(""https://docs.google.com/spreadsheets/d/1SX6NBoVAgQJ6U1MVXOaj8PK2l7WJ3RER9xtqwdhxkhw/edit?usp=sharing"",""กาญจนบุรี!I473"")"),0)</f>
        <v>0</v>
      </c>
      <c r="J578" s="199">
        <f ca="1">IFERROR(__xludf.DUMMYFUNCTION("IMPORTRANGE(""https://docs.google.com/spreadsheets/d/1SX6NBoVAgQJ6U1MVXOaj8PK2l7WJ3RER9xtqwdhxkhw/edit?usp=sharing"",""กาญจนบุรี!J473"")"),0)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IFERROR(__xludf.DUMMYFUNCTION("IMPORTRANGE(""https://docs.google.com/spreadsheets/d/1SX6NBoVAgQJ6U1MVXOaj8PK2l7WJ3RER9xtqwdhxkhw/edit?usp=sharing"",""กาญจนบุรี!I474"")"),0)</f>
        <v>0</v>
      </c>
      <c r="J579" s="199">
        <f ca="1">IFERROR(__xludf.DUMMYFUNCTION("IMPORTRANGE(""https://docs.google.com/spreadsheets/d/1SX6NBoVAgQJ6U1MVXOaj8PK2l7WJ3RER9xtqwdhxkhw/edit?usp=sharing"",""กาญจนบุรี!J474"")"),0)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IFERROR(__xludf.DUMMYFUNCTION("IMPORTRANGE(""https://docs.google.com/spreadsheets/d/1SX6NBoVAgQJ6U1MVXOaj8PK2l7WJ3RER9xtqwdhxkhw/edit?usp=sharing"",""กาญจนบุรี!L476"")"),0)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IFERROR(__xludf.DUMMYFUNCTION("IMPORTRANGE(""https://docs.google.com/spreadsheets/d/1SX6NBoVAgQJ6U1MVXOaj8PK2l7WJ3RER9xtqwdhxkhw/edit?usp=sharing"",""กาญจนบุรี!M476"")"),0)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IFERROR(__xludf.DUMMYFUNCTION("IMPORTRANGE(""https://docs.google.com/spreadsheets/d/1SX6NBoVAgQJ6U1MVXOaj8PK2l7WJ3RER9xtqwdhxkhw/edit?usp=sharing"",""กาญจนบุรี!L477"")"),0)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IFERROR(__xludf.DUMMYFUNCTION("IMPORTRANGE(""https://docs.google.com/spreadsheets/d/1SX6NBoVAgQJ6U1MVXOaj8PK2l7WJ3RER9xtqwdhxkhw/edit?usp=sharing"",""กาญจนบุรี!M477"")"),0)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IFERROR(__xludf.DUMMYFUNCTION("IMPORTRANGE(""https://docs.google.com/spreadsheets/d/1SX6NBoVAgQJ6U1MVXOaj8PK2l7WJ3RER9xtqwdhxkhw/edit?usp=sharing"",""กาญจนบุรี!L478"")"),0)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IFERROR(__xludf.DUMMYFUNCTION("IMPORTRANGE(""https://docs.google.com/spreadsheets/d/1SX6NBoVAgQJ6U1MVXOaj8PK2l7WJ3RER9xtqwdhxkhw/edit?usp=sharing"",""กาญจนบุรี!M478"")"),0)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IFERROR(__xludf.DUMMYFUNCTION("IMPORTRANGE(""https://docs.google.com/spreadsheets/d/1SX6NBoVAgQJ6U1MVXOaj8PK2l7WJ3RER9xtqwdhxkhw/edit?usp=sharing"",""กาญจนบุรี!L479"")"),0)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IFERROR(__xludf.DUMMYFUNCTION("IMPORTRANGE(""https://docs.google.com/spreadsheets/d/1SX6NBoVAgQJ6U1MVXOaj8PK2l7WJ3RER9xtqwdhxkhw/edit?usp=sharing"",""กาญจนบุรี!M479"")"),0)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IFERROR(__xludf.DUMMYFUNCTION("IMPORTRANGE(""https://docs.google.com/spreadsheets/d/1SX6NBoVAgQJ6U1MVXOaj8PK2l7WJ3RER9xtqwdhxkhw/edit?usp=sharing"",""กาญจนบุรี!M480"")"),0)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IFERROR(__xludf.DUMMYFUNCTION("IMPORTRANGE(""https://docs.google.com/spreadsheets/d/1SX6NBoVAgQJ6U1MVXOaj8PK2l7WJ3RER9xtqwdhxkhw/edit?usp=sharing"",""กาญจนบุรี!M481"")"),0)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IFERROR(__xludf.DUMMYFUNCTION("IMPORTRANGE(""https://docs.google.com/spreadsheets/d/1SX6NBoVAgQJ6U1MVXOaj8PK2l7WJ3RER9xtqwdhxkhw/edit?usp=sharing"",""กาญจนบุรี!M482"")"),0)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IFERROR(__xludf.DUMMYFUNCTION("IMPORTRANGE(""https://docs.google.com/spreadsheets/d/1SX6NBoVAgQJ6U1MVXOaj8PK2l7WJ3RER9xtqwdhxkhw/edit?usp=sharing"",""กาญจนบุรี!M483"")"),0)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IFERROR(__xludf.DUMMYFUNCTION("IMPORTRANGE(""https://docs.google.com/spreadsheets/d/1SX6NBoVAgQJ6U1MVXOaj8PK2l7WJ3RER9xtqwdhxkhw/edit?usp=sharing"",""กาญจนบุรี!I484"")"),0)</f>
        <v>0</v>
      </c>
      <c r="J589" s="189">
        <f ca="1">IFERROR(__xludf.DUMMYFUNCTION("IMPORTRANGE(""https://docs.google.com/spreadsheets/d/1SX6NBoVAgQJ6U1MVXOaj8PK2l7WJ3RER9xtqwdhxkhw/edit?usp=sharing"",""กาญจนบุรี!J484"")"),0)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9">
        <f ca="1">IFERROR(__xludf.DUMMYFUNCTION("IMPORTRANGE(""https://docs.google.com/spreadsheets/d/1SX6NBoVAgQJ6U1MVXOaj8PK2l7WJ3RER9xtqwdhxkhw/edit?usp=sharing"",""กาญจนบุรี!J485"")"),0)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IFERROR(__xludf.DUMMYFUNCTION("IMPORTRANGE(""https://docs.google.com/spreadsheets/d/1SX6NBoVAgQJ6U1MVXOaj8PK2l7WJ3RER9xtqwdhxkhw/edit?usp=sharing"",""กาญจนบุรี!I486"")"),0)</f>
        <v>0</v>
      </c>
      <c r="J591" s="189">
        <f ca="1">IFERROR(__xludf.DUMMYFUNCTION("IMPORTRANGE(""https://docs.google.com/spreadsheets/d/1SX6NBoVAgQJ6U1MVXOaj8PK2l7WJ3RER9xtqwdhxkhw/edit?usp=sharing"",""กาญจนบุรี!J486"")"),0)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9">
        <f ca="1">IFERROR(__xludf.DUMMYFUNCTION("IMPORTRANGE(""https://docs.google.com/spreadsheets/d/1SX6NBoVAgQJ6U1MVXOaj8PK2l7WJ3RER9xtqwdhxkhw/edit?usp=sharing"",""กาญจนบุรี!J487"")"),0)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IFERROR(__xludf.DUMMYFUNCTION("IMPORTRANGE(""https://docs.google.com/spreadsheets/d/1SX6NBoVAgQJ6U1MVXOaj8PK2l7WJ3RER9xtqwdhxkhw/edit?usp=sharing"",""กาญจนบุรี!I488"")"),0)</f>
        <v>0</v>
      </c>
      <c r="J593" s="189">
        <f ca="1">IFERROR(__xludf.DUMMYFUNCTION("IMPORTRANGE(""https://docs.google.com/spreadsheets/d/1SX6NBoVAgQJ6U1MVXOaj8PK2l7WJ3RER9xtqwdhxkhw/edit?usp=sharing"",""กาญจนบุรี!J488"")"),0)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9">
        <f ca="1">IFERROR(__xludf.DUMMYFUNCTION("IMPORTRANGE(""https://docs.google.com/spreadsheets/d/1SX6NBoVAgQJ6U1MVXOaj8PK2l7WJ3RER9xtqwdhxkhw/edit?usp=sharing"",""กาญจนบุรี!J489"")"),0)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IFERROR(__xludf.DUMMYFUNCTION("IMPORTRANGE(""https://docs.google.com/spreadsheets/d/1SX6NBoVAgQJ6U1MVXOaj8PK2l7WJ3RER9xtqwdhxkhw/edit?usp=sharing"",""กาญจนบุรี!I490"")"),0)</f>
        <v>0</v>
      </c>
      <c r="J595" s="189">
        <f ca="1">IFERROR(__xludf.DUMMYFUNCTION("IMPORTRANGE(""https://docs.google.com/spreadsheets/d/1SX6NBoVAgQJ6U1MVXOaj8PK2l7WJ3RER9xtqwdhxkhw/edit?usp=sharing"",""กาญจนบุรี!J490"")"),0)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7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IFERROR(__xludf.DUMMYFUNCTION("IMPORTRANGE(""https://docs.google.com/spreadsheets/d/1SX6NBoVAgQJ6U1MVXOaj8PK2l7WJ3RER9xtqwdhxkhw/edit?usp=sharing"",""กาญจนบุรี!L493"")"),0)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IFERROR(__xludf.DUMMYFUNCTION("IMPORTRANGE(""https://docs.google.com/spreadsheets/d/1SX6NBoVAgQJ6U1MVXOaj8PK2l7WJ3RER9xtqwdhxkhw/edit?usp=sharing"",""กาญจนบุรี!M493"")"),0)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IFERROR(__xludf.DUMMYFUNCTION("IMPORTRANGE(""https://docs.google.com/spreadsheets/d/1SX6NBoVAgQJ6U1MVXOaj8PK2l7WJ3RER9xtqwdhxkhw/edit?usp=sharing"",""กาญจนบุรี!L494"")"),18300)</f>
        <v>18300</v>
      </c>
      <c r="M599" s="167"/>
      <c r="N599" s="170">
        <f ca="1">IFERROR(__xludf.DUMMYFUNCTION("IMPORTRANGE(""https://docs.google.com/spreadsheets/d/1SX6NBoVAgQJ6U1MVXOaj8PK2l7WJ3RER9xtqwdhxkhw/edit?usp=sharing"",""กาญจนบุรี!M494"")"),320)</f>
        <v>320</v>
      </c>
      <c r="O599" s="170">
        <f t="shared" ca="1" si="126"/>
        <v>1.7486338797814207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IFERROR(__xludf.DUMMYFUNCTION("IMPORTRANGE(""https://docs.google.com/spreadsheets/d/1SX6NBoVAgQJ6U1MVXOaj8PK2l7WJ3RER9xtqwdhxkhw/edit?usp=sharing"",""กาญจนบุรี!L495"")"),0)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IFERROR(__xludf.DUMMYFUNCTION("IMPORTRANGE(""https://docs.google.com/spreadsheets/d/1SX6NBoVAgQJ6U1MVXOaj8PK2l7WJ3RER9xtqwdhxkhw/edit?usp=sharing"",""กาญจนบุรี!M495"")"),0)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IFERROR(__xludf.DUMMYFUNCTION("IMPORTRANGE(""https://docs.google.com/spreadsheets/d/1SX6NBoVAgQJ6U1MVXOaj8PK2l7WJ3RER9xtqwdhxkhw/edit?usp=sharing"",""กาญจนบุรี!L496"")"),18300)</f>
        <v>18300</v>
      </c>
      <c r="M601" s="170"/>
      <c r="N601" s="170">
        <f ca="1">IFERROR(__xludf.DUMMYFUNCTION("IMPORTRANGE(""https://docs.google.com/spreadsheets/d/1SX6NBoVAgQJ6U1MVXOaj8PK2l7WJ3RER9xtqwdhxkhw/edit?usp=sharing"",""กาญจนบุรี!M496"")"),320)</f>
        <v>320</v>
      </c>
      <c r="O601" s="170">
        <f t="shared" ca="1" si="126"/>
        <v>1.7486338797814207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IFERROR(__xludf.DUMMYFUNCTION("IMPORTRANGE(""https://docs.google.com/spreadsheets/d/1SX6NBoVAgQJ6U1MVXOaj8PK2l7WJ3RER9xtqwdhxkhw/edit?usp=sharing"",""กาญจนบุรี!M497"")"),0)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IFERROR(__xludf.DUMMYFUNCTION("IMPORTRANGE(""https://docs.google.com/spreadsheets/d/1SX6NBoVAgQJ6U1MVXOaj8PK2l7WJ3RER9xtqwdhxkhw/edit?usp=sharing"",""กาญจนบุรี!M498"")"),0)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IFERROR(__xludf.DUMMYFUNCTION("IMPORTRANGE(""https://docs.google.com/spreadsheets/d/1SX6NBoVAgQJ6U1MVXOaj8PK2l7WJ3RER9xtqwdhxkhw/edit?usp=sharing"",""กาญจนบุรี!J502"")"),0)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IFERROR(__xludf.DUMMYFUNCTION("IMPORTRANGE(""https://docs.google.com/spreadsheets/d/1SX6NBoVAgQJ6U1MVXOaj8PK2l7WJ3RER9xtqwdhxkhw/edit?usp=sharing"",""กาญจนบุรี!J503"")"),1)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IFERROR(__xludf.DUMMYFUNCTION("IMPORTRANGE(""https://docs.google.com/spreadsheets/d/1SX6NBoVAgQJ6U1MVXOaj8PK2l7WJ3RER9xtqwdhxkhw/edit?usp=sharing"",""กาญจนบุรี!I506"")"),300)</f>
        <v>300</v>
      </c>
      <c r="J611" s="164">
        <f ca="1">IFERROR(__xludf.DUMMYFUNCTION("IMPORTRANGE(""https://docs.google.com/spreadsheets/d/1SX6NBoVAgQJ6U1MVXOaj8PK2l7WJ3RER9xtqwdhxkhw/edit?usp=sharing"",""กาญจนบุรี!J506"")"),0)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IFERROR(__xludf.DUMMYFUNCTION("IMPORTRANGE(""https://docs.google.com/spreadsheets/d/1SX6NBoVAgQJ6U1MVXOaj8PK2l7WJ3RER9xtqwdhxkhw/edit?usp=sharing"",""กาญจนบุรี!I507"")"),0)</f>
        <v>0</v>
      </c>
      <c r="J612" s="199">
        <f ca="1">IFERROR(__xludf.DUMMYFUNCTION("IMPORTRANGE(""https://docs.google.com/spreadsheets/d/1SX6NBoVAgQJ6U1MVXOaj8PK2l7WJ3RER9xtqwdhxkhw/edit?usp=sharing"",""กาญจนบุรี!J507"")"),136.63)</f>
        <v>136.63</v>
      </c>
      <c r="K612" s="165">
        <f t="shared" ca="1" si="127"/>
        <v>45.543333333333337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IFERROR(__xludf.DUMMYFUNCTION("IMPORTRANGE(""https://docs.google.com/spreadsheets/d/1SX6NBoVAgQJ6U1MVXOaj8PK2l7WJ3RER9xtqwdhxkhw/edit?usp=sharing"",""กาญจนบุรี!I508"")"),0)</f>
        <v>0</v>
      </c>
      <c r="J613" s="199">
        <f ca="1">IFERROR(__xludf.DUMMYFUNCTION("IMPORTRANGE(""https://docs.google.com/spreadsheets/d/1SX6NBoVAgQJ6U1MVXOaj8PK2l7WJ3RER9xtqwdhxkhw/edit?usp=sharing"",""กาญจนบุรี!J508"")"),136.63)</f>
        <v>136.63</v>
      </c>
      <c r="K613" s="165">
        <f t="shared" ca="1" si="127"/>
        <v>45.543333333333337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IFERROR(__xludf.DUMMYFUNCTION("IMPORTRANGE(""https://docs.google.com/spreadsheets/d/1SX6NBoVAgQJ6U1MVXOaj8PK2l7WJ3RER9xtqwdhxkhw/edit?usp=sharing"",""กาญจนบุรี!I509"")"),0)</f>
        <v>0</v>
      </c>
      <c r="J614" s="199">
        <f ca="1">IFERROR(__xludf.DUMMYFUNCTION("IMPORTRANGE(""https://docs.google.com/spreadsheets/d/1SX6NBoVAgQJ6U1MVXOaj8PK2l7WJ3RER9xtqwdhxkhw/edit?usp=sharing"",""กาญจนบุรี!J509"")"),0)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IFERROR(__xludf.DUMMYFUNCTION("IMPORTRANGE(""https://docs.google.com/spreadsheets/d/1SX6NBoVAgQJ6U1MVXOaj8PK2l7WJ3RER9xtqwdhxkhw/edit?usp=sharing"",""กาญจนบุรี!I510"")"),0)</f>
        <v>0</v>
      </c>
      <c r="J615" s="199">
        <f ca="1">IFERROR(__xludf.DUMMYFUNCTION("IMPORTRANGE(""https://docs.google.com/spreadsheets/d/1SX6NBoVAgQJ6U1MVXOaj8PK2l7WJ3RER9xtqwdhxkhw/edit?usp=sharing"",""กาญจนบุรี!J510"")"),0)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IFERROR(__xludf.DUMMYFUNCTION("IMPORTRANGE(""https://docs.google.com/spreadsheets/d/1SX6NBoVAgQJ6U1MVXOaj8PK2l7WJ3RER9xtqwdhxkhw/edit?usp=sharing"",""กาญจนบุรี!I511"")"),0)</f>
        <v>0</v>
      </c>
      <c r="J616" s="199">
        <f ca="1">IFERROR(__xludf.DUMMYFUNCTION("IMPORTRANGE(""https://docs.google.com/spreadsheets/d/1SX6NBoVAgQJ6U1MVXOaj8PK2l7WJ3RER9xtqwdhxkhw/edit?usp=sharing"",""กาญจนบุรี!J511"")"),0)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IFERROR(__xludf.DUMMYFUNCTION("IMPORTRANGE(""https://docs.google.com/spreadsheets/d/1SX6NBoVAgQJ6U1MVXOaj8PK2l7WJ3RER9xtqwdhxkhw/edit?usp=sharing"",""กาญจนบุรี!I512"")"),0)</f>
        <v>0</v>
      </c>
      <c r="J617" s="189">
        <f ca="1">IFERROR(__xludf.DUMMYFUNCTION("IMPORTRANGE(""https://docs.google.com/spreadsheets/d/1SX6NBoVAgQJ6U1MVXOaj8PK2l7WJ3RER9xtqwdhxkhw/edit?usp=sharing"",""กาญจนบุรี!J512"")"),0)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IFERROR(__xludf.DUMMYFUNCTION("IMPORTRANGE(""https://docs.google.com/spreadsheets/d/1SX6NBoVAgQJ6U1MVXOaj8PK2l7WJ3RER9xtqwdhxkhw/edit?usp=sharing"",""กาญจนบุรี!I513"")"),0)</f>
        <v>0</v>
      </c>
      <c r="J618" s="190">
        <f ca="1">IFERROR(__xludf.DUMMYFUNCTION("IMPORTRANGE(""https://docs.google.com/spreadsheets/d/1SX6NBoVAgQJ6U1MVXOaj8PK2l7WJ3RER9xtqwdhxkhw/edit?usp=sharing"",""กาญจนบุรี!J513"")"),0)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IFERROR(__xludf.DUMMYFUNCTION("IMPORTRANGE(""https://docs.google.com/spreadsheets/d/1SX6NBoVAgQJ6U1MVXOaj8PK2l7WJ3RER9xtqwdhxkhw/edit?usp=sharing"",""กาญจนบุรี!I514"")"),0)</f>
        <v>0</v>
      </c>
      <c r="J619" s="190">
        <f ca="1">IFERROR(__xludf.DUMMYFUNCTION("IMPORTRANGE(""https://docs.google.com/spreadsheets/d/1SX6NBoVAgQJ6U1MVXOaj8PK2l7WJ3RER9xtqwdhxkhw/edit?usp=sharing"",""กาญจนบุรี!J514"")"),0)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IFERROR(__xludf.DUMMYFUNCTION("IMPORTRANGE(""https://docs.google.com/spreadsheets/d/1SX6NBoVAgQJ6U1MVXOaj8PK2l7WJ3RER9xtqwdhxkhw/edit?usp=sharing"",""กาญจนบุรี!I515"")"),0)</f>
        <v>0</v>
      </c>
      <c r="J620" s="204">
        <f ca="1">IFERROR(__xludf.DUMMYFUNCTION("IMPORTRANGE(""https://docs.google.com/spreadsheets/d/1SX6NBoVAgQJ6U1MVXOaj8PK2l7WJ3RER9xtqwdhxkhw/edit?usp=sharing"",""กาญจนบุรี!J515"")"),0)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IFERROR(__xludf.DUMMYFUNCTION("IMPORTRANGE(""https://docs.google.com/spreadsheets/d/1SX6NBoVAgQJ6U1MVXOaj8PK2l7WJ3RER9xtqwdhxkhw/edit?usp=sharing"",""กาญจนบุรี!I516"")"),0)</f>
        <v>0</v>
      </c>
      <c r="J621" s="204">
        <f ca="1">IFERROR(__xludf.DUMMYFUNCTION("IMPORTRANGE(""https://docs.google.com/spreadsheets/d/1SX6NBoVAgQJ6U1MVXOaj8PK2l7WJ3RER9xtqwdhxkhw/edit?usp=sharing"",""กาญจนบุรี!J516"")"),0)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IFERROR(__xludf.DUMMYFUNCTION("IMPORTRANGE(""https://docs.google.com/spreadsheets/d/1SX6NBoVAgQJ6U1MVXOaj8PK2l7WJ3RER9xtqwdhxkhw/edit?usp=sharing"",""กาญจนบุรี!I517"")"),0)</f>
        <v>0</v>
      </c>
      <c r="J622" s="190">
        <f ca="1">IFERROR(__xludf.DUMMYFUNCTION("IMPORTRANGE(""https://docs.google.com/spreadsheets/d/1SX6NBoVAgQJ6U1MVXOaj8PK2l7WJ3RER9xtqwdhxkhw/edit?usp=sharing"",""กาญจนบุรี!J517"")"),0)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IFERROR(__xludf.DUMMYFUNCTION("IMPORTRANGE(""https://docs.google.com/spreadsheets/d/1SX6NBoVAgQJ6U1MVXOaj8PK2l7WJ3RER9xtqwdhxkhw/edit?usp=sharing"",""กาญจนบุรี!I518"")"),0)</f>
        <v>0</v>
      </c>
      <c r="J623" s="190">
        <f ca="1">IFERROR(__xludf.DUMMYFUNCTION("IMPORTRANGE(""https://docs.google.com/spreadsheets/d/1SX6NBoVAgQJ6U1MVXOaj8PK2l7WJ3RER9xtqwdhxkhw/edit?usp=sharing"",""กาญจนบุรี!J518"")"),0)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IFERROR(__xludf.DUMMYFUNCTION("IMPORTRANGE(""https://docs.google.com/spreadsheets/d/1SX6NBoVAgQJ6U1MVXOaj8PK2l7WJ3RER9xtqwdhxkhw/edit?usp=sharing"",""กาญจนบุรี!I519"")"),0)</f>
        <v>0</v>
      </c>
      <c r="J624" s="189">
        <f ca="1">IFERROR(__xludf.DUMMYFUNCTION("IMPORTRANGE(""https://docs.google.com/spreadsheets/d/1SX6NBoVAgQJ6U1MVXOaj8PK2l7WJ3RER9xtqwdhxkhw/edit?usp=sharing"",""กาญจนบุรี!J519"")"),0)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IFERROR(__xludf.DUMMYFUNCTION("IMPORTRANGE(""https://docs.google.com/spreadsheets/d/1SX6NBoVAgQJ6U1MVXOaj8PK2l7WJ3RER9xtqwdhxkhw/edit?usp=sharing"",""กาญจนบุรี!I520"")"),0)</f>
        <v>0</v>
      </c>
      <c r="J625" s="190">
        <f ca="1">IFERROR(__xludf.DUMMYFUNCTION("IMPORTRANGE(""https://docs.google.com/spreadsheets/d/1SX6NBoVAgQJ6U1MVXOaj8PK2l7WJ3RER9xtqwdhxkhw/edit?usp=sharing"",""กาญจนบุรี!J520"")"),0)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IFERROR(__xludf.DUMMYFUNCTION("IMPORTRANGE(""https://docs.google.com/spreadsheets/d/1SX6NBoVAgQJ6U1MVXOaj8PK2l7WJ3RER9xtqwdhxkhw/edit?usp=sharing"",""กาญจนบุรี!I521"")"),0)</f>
        <v>0</v>
      </c>
      <c r="J626" s="190">
        <f ca="1">IFERROR(__xludf.DUMMYFUNCTION("IMPORTRANGE(""https://docs.google.com/spreadsheets/d/1SX6NBoVAgQJ6U1MVXOaj8PK2l7WJ3RER9xtqwdhxkhw/edit?usp=sharing"",""กาญจนบุรี!J521"")"),0)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IFERROR(__xludf.DUMMYFUNCTION("IMPORTRANGE(""https://docs.google.com/spreadsheets/d/1SX6NBoVAgQJ6U1MVXOaj8PK2l7WJ3RER9xtqwdhxkhw/edit?usp=sharing"",""กาญจนบุรี!I523"")"),1500000)</f>
        <v>1500000</v>
      </c>
      <c r="J628" s="341">
        <f ca="1">IFERROR(__xludf.DUMMYFUNCTION("IMPORTRANGE(""https://docs.google.com/spreadsheets/d/1SX6NBoVAgQJ6U1MVXOaj8PK2l7WJ3RER9xtqwdhxkhw/edit?usp=sharing"",""กาญจนบุรี!J523"")"),1285945.48)</f>
        <v>1285945.48</v>
      </c>
      <c r="K628" s="342">
        <f t="shared" ref="K628:K635" ca="1" si="129">IF(I628&gt;0,J628*100/I628,0)</f>
        <v>85.729698666666664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IFERROR(__xludf.DUMMYFUNCTION("IMPORTRANGE(""https://docs.google.com/spreadsheets/d/1SX6NBoVAgQJ6U1MVXOaj8PK2l7WJ3RER9xtqwdhxkhw/edit?usp=sharing"",""กาญจนบุรี!I524"")"),50)</f>
        <v>50</v>
      </c>
      <c r="J629" s="341">
        <f ca="1">IFERROR(__xludf.DUMMYFUNCTION("IMPORTRANGE(""https://docs.google.com/spreadsheets/d/1SX6NBoVAgQJ6U1MVXOaj8PK2l7WJ3RER9xtqwdhxkhw/edit?usp=sharing"",""กาญจนบุรี!J524"")"),47)</f>
        <v>47</v>
      </c>
      <c r="K629" s="342">
        <f t="shared" ca="1" si="129"/>
        <v>94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1">
        <f ca="1">IFERROR(__xludf.DUMMYFUNCTION("IMPORTRANGE(""https://docs.google.com/spreadsheets/d/1SX6NBoVAgQJ6U1MVXOaj8PK2l7WJ3RER9xtqwdhxkhw/edit?usp=sharing"",""กาญจนบุรี!J525"")"),546326.96)</f>
        <v>546326.96</v>
      </c>
      <c r="K630" s="342">
        <f t="shared" ca="1" si="129"/>
        <v>2.6139807835635516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IFERROR(__xludf.DUMMYFUNCTION("IMPORTRANGE(""https://docs.google.com/spreadsheets/d/1SX6NBoVAgQJ6U1MVXOaj8PK2l7WJ3RER9xtqwdhxkhw/edit?usp=sharing"",""กาญจนบุรี!I526"")"),734)</f>
        <v>734</v>
      </c>
      <c r="J631" s="341">
        <f ca="1">IFERROR(__xludf.DUMMYFUNCTION("IMPORTRANGE(""https://docs.google.com/spreadsheets/d/1SX6NBoVAgQJ6U1MVXOaj8PK2l7WJ3RER9xtqwdhxkhw/edit?usp=sharing"",""กาญจนบุรี!J526"")"),76)</f>
        <v>76</v>
      </c>
      <c r="K631" s="342">
        <f t="shared" ca="1" si="129"/>
        <v>10.354223433242506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1">
        <f ca="1">IFERROR(__xludf.DUMMYFUNCTION("IMPORTRANGE(""https://docs.google.com/spreadsheets/d/1SX6NBoVAgQJ6U1MVXOaj8PK2l7WJ3RER9xtqwdhxkhw/edit?usp=sharing"",""กาญจนบุรี!J527"")"),25300.38)</f>
        <v>25300.38</v>
      </c>
      <c r="K632" s="342">
        <f t="shared" ca="1" si="129"/>
        <v>4.1588822354895694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IFERROR(__xludf.DUMMYFUNCTION("IMPORTRANGE(""https://docs.google.com/spreadsheets/d/1SX6NBoVAgQJ6U1MVXOaj8PK2l7WJ3RER9xtqwdhxkhw/edit?usp=sharing"",""กาญจนบุรี!I528"")"),179)</f>
        <v>179</v>
      </c>
      <c r="J633" s="341">
        <f ca="1">IFERROR(__xludf.DUMMYFUNCTION("IMPORTRANGE(""https://docs.google.com/spreadsheets/d/1SX6NBoVAgQJ6U1MVXOaj8PK2l7WJ3RER9xtqwdhxkhw/edit?usp=sharing"",""กาญจนบุรี!J528"")"),5)</f>
        <v>5</v>
      </c>
      <c r="K633" s="342">
        <f t="shared" ca="1" si="129"/>
        <v>2.7932960893854748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IFERROR(__xludf.DUMMYFUNCTION("IMPORTRANGE(""https://docs.google.com/spreadsheets/d/1SX6NBoVAgQJ6U1MVXOaj8PK2l7WJ3RER9xtqwdhxkhw/edit?usp=sharing"",""กาญจนบุรี!I529"")"),2100000)</f>
        <v>2100000</v>
      </c>
      <c r="J634" s="341">
        <f ca="1">IFERROR(__xludf.DUMMYFUNCTION("IMPORTRANGE(""https://docs.google.com/spreadsheets/d/1SX6NBoVAgQJ6U1MVXOaj8PK2l7WJ3RER9xtqwdhxkhw/edit?usp=sharing"",""กาญจนบุรี!J529"")"),0)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IFERROR(__xludf.DUMMYFUNCTION("IMPORTRANGE(""https://docs.google.com/spreadsheets/d/1SX6NBoVAgQJ6U1MVXOaj8PK2l7WJ3RER9xtqwdhxkhw/edit?usp=sharing"",""กาญจนบุรี!I530"")"),70)</f>
        <v>70</v>
      </c>
      <c r="J635" s="504">
        <f ca="1">IFERROR(__xludf.DUMMYFUNCTION("IMPORTRANGE(""https://docs.google.com/spreadsheets/d/1SX6NBoVAgQJ6U1MVXOaj8PK2l7WJ3RER9xtqwdhxkhw/edit?usp=sharing"",""กาญจนบุรี!J530"")"),0)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2.570312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274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2229095</v>
      </c>
      <c r="M8" s="23">
        <f t="shared" ca="1" si="0"/>
        <v>1051007</v>
      </c>
      <c r="N8" s="23">
        <f t="shared" ca="1" si="0"/>
        <v>1045167.33</v>
      </c>
      <c r="O8" s="22">
        <f t="shared" ref="O8:O16" ca="1" si="1">IF(L8&gt;0,N8*100/L8,0)</f>
        <v>46.887518477229548</v>
      </c>
      <c r="P8" s="22">
        <f t="shared" ref="P8:P16" ca="1" si="2">IF(M8&gt;0,N8*100/M8,0)</f>
        <v>99.444373824341795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2229095</v>
      </c>
      <c r="M10" s="30">
        <f t="shared" ca="1" si="4"/>
        <v>1051007</v>
      </c>
      <c r="N10" s="30">
        <f t="shared" ca="1" si="4"/>
        <v>1045167.33</v>
      </c>
      <c r="O10" s="29">
        <f t="shared" ca="1" si="1"/>
        <v>46.887518477229548</v>
      </c>
      <c r="P10" s="29">
        <f t="shared" ca="1" si="2"/>
        <v>99.444373824341795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2094095</v>
      </c>
      <c r="M12" s="38">
        <f t="shared" ca="1" si="6"/>
        <v>916007</v>
      </c>
      <c r="N12" s="38">
        <f t="shared" ca="1" si="6"/>
        <v>910167.33</v>
      </c>
      <c r="O12" s="38">
        <f t="shared" ca="1" si="1"/>
        <v>43.463516698144069</v>
      </c>
      <c r="P12" s="38">
        <f t="shared" ca="1" si="2"/>
        <v>99.362486312877522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416195</v>
      </c>
      <c r="M14" s="38">
        <f t="shared" si="8"/>
        <v>0</v>
      </c>
      <c r="N14" s="38">
        <f t="shared" ca="1" si="8"/>
        <v>98204.33</v>
      </c>
      <c r="O14" s="38">
        <f t="shared" ca="1" si="1"/>
        <v>23.595749588534222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135000</v>
      </c>
      <c r="M16" s="38">
        <f t="shared" ca="1" si="10"/>
        <v>135000</v>
      </c>
      <c r="N16" s="38">
        <f t="shared" ca="1" si="10"/>
        <v>135000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1904865</v>
      </c>
      <c r="M18" s="23">
        <f t="shared" ca="1" si="11"/>
        <v>1051007</v>
      </c>
      <c r="N18" s="23">
        <f t="shared" ca="1" si="11"/>
        <v>946963</v>
      </c>
      <c r="O18" s="22">
        <f t="shared" ref="O18:O20" ca="1" si="12">IF(L18&gt;0,N18*100/L18,0)</f>
        <v>49.712866791084934</v>
      </c>
      <c r="P18" s="22">
        <f t="shared" ref="P18:P26" ca="1" si="13">IF(M18&gt;0,N18*100/M18,0)</f>
        <v>90.100541670987923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1904865</v>
      </c>
      <c r="M20" s="30">
        <f t="shared" ca="1" si="15"/>
        <v>1051007</v>
      </c>
      <c r="N20" s="30">
        <f t="shared" ca="1" si="15"/>
        <v>946963</v>
      </c>
      <c r="O20" s="29">
        <f t="shared" ca="1" si="12"/>
        <v>49.712866791084934</v>
      </c>
      <c r="P20" s="29">
        <f t="shared" ca="1" si="13"/>
        <v>90.100541670987923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916007</v>
      </c>
      <c r="N22" s="38">
        <f t="shared" ca="1" si="18"/>
        <v>811963</v>
      </c>
      <c r="O22" s="38">
        <f t="shared" ca="1" si="17"/>
        <v>45.877114921194554</v>
      </c>
      <c r="P22" s="38">
        <f t="shared" ca="1" si="13"/>
        <v>88.641571516374881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135000</v>
      </c>
      <c r="M26" s="49">
        <f t="shared" ca="1" si="22"/>
        <v>135000</v>
      </c>
      <c r="N26" s="49">
        <f t="shared" ca="1" si="22"/>
        <v>135000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324230</v>
      </c>
      <c r="M28" s="23">
        <f t="shared" si="23"/>
        <v>0</v>
      </c>
      <c r="N28" s="23">
        <f t="shared" ca="1" si="23"/>
        <v>98204.33</v>
      </c>
      <c r="O28" s="22">
        <f t="shared" ref="O28:O30" ca="1" si="24">IF(L28&gt;0,N28*100/L28,0)</f>
        <v>30.28847731548592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324230</v>
      </c>
      <c r="M30" s="30">
        <f t="shared" si="27"/>
        <v>0</v>
      </c>
      <c r="N30" s="30">
        <f t="shared" ca="1" si="27"/>
        <v>98204.33</v>
      </c>
      <c r="O30" s="29">
        <f t="shared" ca="1" si="24"/>
        <v>30.28847731548592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324230</v>
      </c>
      <c r="M32" s="38">
        <f t="shared" si="30"/>
        <v>0</v>
      </c>
      <c r="N32" s="38">
        <f t="shared" ca="1" si="30"/>
        <v>98204.33</v>
      </c>
      <c r="O32" s="38">
        <f t="shared" ca="1" si="29"/>
        <v>30.28847731548592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324230</v>
      </c>
      <c r="M34" s="38">
        <f t="shared" si="32"/>
        <v>0</v>
      </c>
      <c r="N34" s="38">
        <f t="shared" ca="1" si="32"/>
        <v>98204.33</v>
      </c>
      <c r="O34" s="38">
        <f t="shared" ca="1" si="29"/>
        <v>30.28847731548592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1904865</v>
      </c>
      <c r="M37" s="54">
        <f t="shared" ca="1" si="33"/>
        <v>1051007</v>
      </c>
      <c r="N37" s="54">
        <f t="shared" ca="1" si="33"/>
        <v>946963</v>
      </c>
      <c r="O37" s="55">
        <f t="shared" ca="1" si="29"/>
        <v>49.712866791084934</v>
      </c>
      <c r="P37" s="55">
        <f t="shared" ca="1" si="25"/>
        <v>90.100541670987923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442100</v>
      </c>
      <c r="N41" s="78">
        <f t="shared" ca="1" si="34"/>
        <v>377887</v>
      </c>
      <c r="O41" s="77">
        <f t="shared" ref="O41:O43" ca="1" si="35">IF(L41&gt;0,N41*100/L41,0)</f>
        <v>42.74256305847755</v>
      </c>
      <c r="P41" s="77">
        <f t="shared" ref="P41:P43" ca="1" si="36">IF(M41&gt;0,N41*100/M41,0)</f>
        <v>85.475458041167158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442100</v>
      </c>
      <c r="N43" s="78">
        <f t="shared" ca="1" si="38"/>
        <v>377887</v>
      </c>
      <c r="O43" s="77">
        <f t="shared" ca="1" si="35"/>
        <v>42.74256305847755</v>
      </c>
      <c r="P43" s="77">
        <f t="shared" ca="1" si="36"/>
        <v>85.475458041167158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IFERROR(__xludf.DUMMYFUNCTION("IMPORTRANGE(""https://docs.google.com/spreadsheets/d/1Yj_ptqi66GCucihVvJfMjLAmec39IyEx_6qawtMGysU/edit?usp=sharing"",""สบก!Q77"")"),442100)</f>
        <v>442100</v>
      </c>
      <c r="N45" s="49">
        <f ca="1">IFERROR(__xludf.DUMMYFUNCTION("IMPORTRANGE(""https://docs.google.com/spreadsheets/d/1Yj_ptqi66GCucihVvJfMjLAmec39IyEx_6qawtMGysU/edit?usp=sharing"",""สบก!R77"")"),377887)</f>
        <v>377887</v>
      </c>
      <c r="O45" s="38">
        <f ca="1">IF(L45&gt;0,N45*100/L45,0)</f>
        <v>42.74256305847755</v>
      </c>
      <c r="P45" s="38">
        <f ca="1">IF(M45&gt;0,N45*100/M45,0)</f>
        <v>85.475458041167158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159972</v>
      </c>
      <c r="N53" s="121">
        <f t="shared" ca="1" si="39"/>
        <v>151051</v>
      </c>
      <c r="O53" s="120">
        <f t="shared" ref="O53:O55" ca="1" si="40">IF(L53&gt;0,N53*100/L53,0)</f>
        <v>50.350333333333332</v>
      </c>
      <c r="P53" s="120">
        <f t="shared" ref="P53:P55" ca="1" si="41">IF(M53&gt;0,N53*100/M53,0)</f>
        <v>94.423399094841599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159972</v>
      </c>
      <c r="N55" s="121">
        <f t="shared" ca="1" si="43"/>
        <v>151051</v>
      </c>
      <c r="O55" s="120">
        <f t="shared" ca="1" si="40"/>
        <v>50.350333333333332</v>
      </c>
      <c r="P55" s="120">
        <f t="shared" ca="1" si="41"/>
        <v>94.423399094841599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IFERROR(__xludf.DUMMYFUNCTION("IMPORTRANGE(""https://docs.google.com/spreadsheets/d/1Yj_ptqi66GCucihVvJfMjLAmec39IyEx_6qawtMGysU/edit?usp=sharing"",""สบก!Z77"")"),159972)</f>
        <v>159972</v>
      </c>
      <c r="N57" s="49">
        <f ca="1">IFERROR(__xludf.DUMMYFUNCTION("IMPORTRANGE(""https://docs.google.com/spreadsheets/d/1Yj_ptqi66GCucihVvJfMjLAmec39IyEx_6qawtMGysU/edit?usp=sharing"",""สบก!AA77"")"),151051)</f>
        <v>151051</v>
      </c>
      <c r="O57" s="38">
        <f ca="1">IF(L57&gt;0,N57*100/L57,0)</f>
        <v>50.350333333333332</v>
      </c>
      <c r="P57" s="38">
        <f ca="1">IF(M57&gt;0,N57*100/M57,0)</f>
        <v>94.423399094841599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IFERROR(__xludf.DUMMYFUNCTION("IMPORTRANGE(""https://docs.google.com/spreadsheets/d/1Yj_ptqi66GCucihVvJfMjLAmec39IyEx_6qawtMGysU/edit?usp=sharing"",""สบก!AI77"")"),0)</f>
        <v>0</v>
      </c>
      <c r="N70" s="170">
        <f ca="1">IFERROR(__xludf.DUMMYFUNCTION("IMPORTRANGE(""https://docs.google.com/spreadsheets/d/1Yj_ptqi66GCucihVvJfMjLAmec39IyEx_6qawtMGysU/edit?usp=sharing"",""สบก!AJ77"")"),0)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IFERROR(__xludf.DUMMYFUNCTION("IMPORTRANGE(""https://docs.google.com/spreadsheets/d/1Yj_ptqi66GCucihVvJfMjLAmec39IyEx_6qawtMGysU/edit?usp=sharing"",""สบก!AE77"")"),0)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IFERROR(__xludf.DUMMYFUNCTION("IMPORTRANGE(""https://docs.google.com/spreadsheets/d/1Yj_ptqi66GCucihVvJfMjLAmec39IyEx_6qawtMGysU/edit?usp=sharing"",""สบก!AF77"")"),0)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IFERROR(__xludf.DUMMYFUNCTION("IMPORTRANGE(""https://docs.google.com/spreadsheets/d/1SX6NBoVAgQJ6U1MVXOaj8PK2l7WJ3RER9xtqwdhxkhw/edit?usp=sharing"",""สิงห์บุรี!J16"")"),0)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IFERROR(__xludf.DUMMYFUNCTION("IMPORTRANGE(""https://docs.google.com/spreadsheets/d/1SX6NBoVAgQJ6U1MVXOaj8PK2l7WJ3RER9xtqwdhxkhw/edit?usp=sharing"",""สิงห์บุรี!J17"")"),0)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IFERROR(__xludf.DUMMYFUNCTION("IMPORTRANGE(""https://docs.google.com/spreadsheets/d/1SX6NBoVAgQJ6U1MVXOaj8PK2l7WJ3RER9xtqwdhxkhw/edit?usp=sharing"",""สิงห์บุรี!J18"")"),0)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IFERROR(__xludf.DUMMYFUNCTION("IMPORTRANGE(""https://docs.google.com/spreadsheets/d/1SX6NBoVAgQJ6U1MVXOaj8PK2l7WJ3RER9xtqwdhxkhw/edit?usp=sharing"",""สิงห์บุรี!J19"")"),0)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IFERROR(__xludf.DUMMYFUNCTION("IMPORTRANGE(""https://docs.google.com/spreadsheets/d/1SX6NBoVAgQJ6U1MVXOaj8PK2l7WJ3RER9xtqwdhxkhw/edit?usp=sharing"",""สิงห์บุรี!I20"")"),0)</f>
        <v>0</v>
      </c>
      <c r="J80" s="202">
        <f ca="1">IFERROR(__xludf.DUMMYFUNCTION("IMPORTRANGE(""https://docs.google.com/spreadsheets/d/1SX6NBoVAgQJ6U1MVXOaj8PK2l7WJ3RER9xtqwdhxkhw/edit?usp=sharing"",""สิงห์บุรี!J20"")"),0)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IFERROR(__xludf.DUMMYFUNCTION("IMPORTRANGE(""https://docs.google.com/spreadsheets/d/1SX6NBoVAgQJ6U1MVXOaj8PK2l7WJ3RER9xtqwdhxkhw/edit?usp=sharing"",""สิงห์บุรี!I21"")"),0)</f>
        <v>0</v>
      </c>
      <c r="J81" s="202">
        <f ca="1">IFERROR(__xludf.DUMMYFUNCTION("IMPORTRANGE(""https://docs.google.com/spreadsheets/d/1SX6NBoVAgQJ6U1MVXOaj8PK2l7WJ3RER9xtqwdhxkhw/edit?usp=sharing"",""สิงห์บุรี!J21"")"),0)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IFERROR(__xludf.DUMMYFUNCTION("IMPORTRANGE(""https://docs.google.com/spreadsheets/d/1SX6NBoVAgQJ6U1MVXOaj8PK2l7WJ3RER9xtqwdhxkhw/edit?usp=sharing"",""สิงห์บุรี!I22"")"),0)</f>
        <v>0</v>
      </c>
      <c r="J82" s="205">
        <f ca="1">IFERROR(__xludf.DUMMYFUNCTION("IMPORTRANGE(""https://docs.google.com/spreadsheets/d/1SX6NBoVAgQJ6U1MVXOaj8PK2l7WJ3RER9xtqwdhxkhw/edit?usp=sharing"",""สิงห์บุรี!J22"")"),0)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IFERROR(__xludf.DUMMYFUNCTION("IMPORTRANGE(""https://docs.google.com/spreadsheets/d/1SX6NBoVAgQJ6U1MVXOaj8PK2l7WJ3RER9xtqwdhxkhw/edit?usp=sharing"",""สิงห์บุรี!I23"")"),0)</f>
        <v>0</v>
      </c>
      <c r="J83" s="205">
        <f ca="1">IFERROR(__xludf.DUMMYFUNCTION("IMPORTRANGE(""https://docs.google.com/spreadsheets/d/1SX6NBoVAgQJ6U1MVXOaj8PK2l7WJ3RER9xtqwdhxkhw/edit?usp=sharing"",""สิงห์บุรี!J23"")"),0)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IFERROR(__xludf.DUMMYFUNCTION("IMPORTRANGE(""https://docs.google.com/spreadsheets/d/1SX6NBoVAgQJ6U1MVXOaj8PK2l7WJ3RER9xtqwdhxkhw/edit?usp=sharing"",""สิงห์บุรี!I24"")"),0)</f>
        <v>0</v>
      </c>
      <c r="J84" s="190">
        <f ca="1">IFERROR(__xludf.DUMMYFUNCTION("IMPORTRANGE(""https://docs.google.com/spreadsheets/d/1SX6NBoVAgQJ6U1MVXOaj8PK2l7WJ3RER9xtqwdhxkhw/edit?usp=sharing"",""สิงห์บุรี!J24"")"),0)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IFERROR(__xludf.DUMMYFUNCTION("IMPORTRANGE(""https://docs.google.com/spreadsheets/d/1SX6NBoVAgQJ6U1MVXOaj8PK2l7WJ3RER9xtqwdhxkhw/edit?usp=sharing"",""สิงห์บุรี!I25"")"),0)</f>
        <v>0</v>
      </c>
      <c r="J85" s="190">
        <f ca="1">IFERROR(__xludf.DUMMYFUNCTION("IMPORTRANGE(""https://docs.google.com/spreadsheets/d/1SX6NBoVAgQJ6U1MVXOaj8PK2l7WJ3RER9xtqwdhxkhw/edit?usp=sharing"",""สิงห์บุรี!J25"")"),0)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IFERROR(__xludf.DUMMYFUNCTION("IMPORTRANGE(""https://docs.google.com/spreadsheets/d/1SX6NBoVAgQJ6U1MVXOaj8PK2l7WJ3RER9xtqwdhxkhw/edit?usp=sharing"",""สิงห์บุรี!I26"")"),0)</f>
        <v>0</v>
      </c>
      <c r="J86" s="205">
        <f ca="1">IFERROR(__xludf.DUMMYFUNCTION("IMPORTRANGE(""https://docs.google.com/spreadsheets/d/1SX6NBoVAgQJ6U1MVXOaj8PK2l7WJ3RER9xtqwdhxkhw/edit?usp=sharing"",""สิงห์บุรี!J26"")"),0)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IFERROR(__xludf.DUMMYFUNCTION("IMPORTRANGE(""https://docs.google.com/spreadsheets/d/1SX6NBoVAgQJ6U1MVXOaj8PK2l7WJ3RER9xtqwdhxkhw/edit?usp=sharing"",""สิงห์บุรี!I27"")"),0)</f>
        <v>0</v>
      </c>
      <c r="J87" s="205">
        <f ca="1">IFERROR(__xludf.DUMMYFUNCTION("IMPORTRANGE(""https://docs.google.com/spreadsheets/d/1SX6NBoVAgQJ6U1MVXOaj8PK2l7WJ3RER9xtqwdhxkhw/edit?usp=sharing"",""สิงห์บุรี!J27"")"),0)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IFERROR(__xludf.DUMMYFUNCTION("IMPORTRANGE(""https://docs.google.com/spreadsheets/d/1SX6NBoVAgQJ6U1MVXOaj8PK2l7WJ3RER9xtqwdhxkhw/edit?usp=sharing"",""สิงห์บุรี!I28"")"),0)</f>
        <v>0</v>
      </c>
      <c r="J88" s="205">
        <f ca="1">IFERROR(__xludf.DUMMYFUNCTION("IMPORTRANGE(""https://docs.google.com/spreadsheets/d/1SX6NBoVAgQJ6U1MVXOaj8PK2l7WJ3RER9xtqwdhxkhw/edit?usp=sharing"",""สิงห์บุรี!J28"")"),0)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IFERROR(__xludf.DUMMYFUNCTION("IMPORTRANGE(""https://docs.google.com/spreadsheets/d/1SX6NBoVAgQJ6U1MVXOaj8PK2l7WJ3RER9xtqwdhxkhw/edit?usp=sharing"",""สิงห์บุรี!J29"")"),0)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IFERROR(__xludf.DUMMYFUNCTION("IMPORTRANGE(""https://docs.google.com/spreadsheets/d/1Yj_ptqi66GCucihVvJfMjLAmec39IyEx_6qawtMGysU/edit?usp=sharing"",""สบก!AR77"")"),0)</f>
        <v>0</v>
      </c>
      <c r="N98" s="170">
        <f ca="1">IFERROR(__xludf.DUMMYFUNCTION("IMPORTRANGE(""https://docs.google.com/spreadsheets/d/1Yj_ptqi66GCucihVvJfMjLAmec39IyEx_6qawtMGysU/edit?usp=sharing"",""สบก!AS77"")"),0)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IFERROR(__xludf.DUMMYFUNCTION("IMPORTRANGE(""https://docs.google.com/spreadsheets/d/1Yj_ptqi66GCucihVvJfMjLAmec39IyEx_6qawtMGysU/edit?usp=sharing"",""สบก!AN77"")"),0)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IFERROR(__xludf.DUMMYFUNCTION("IMPORTRANGE(""https://docs.google.com/spreadsheets/d/1Yj_ptqi66GCucihVvJfMjLAmec39IyEx_6qawtMGysU/edit?usp=sharing"",""สบก!AO77"")"),0)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IFERROR(__xludf.DUMMYFUNCTION("IMPORTRANGE(""https://docs.google.com/spreadsheets/d/1SX6NBoVAgQJ6U1MVXOaj8PK2l7WJ3RER9xtqwdhxkhw/edit?usp=sharing"",""สิงห์บุรี!I43"")"),0)</f>
        <v>0</v>
      </c>
      <c r="J108" s="205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IFERROR(__xludf.DUMMYFUNCTION("IMPORTRANGE(""https://docs.google.com/spreadsheets/d/1SX6NBoVAgQJ6U1MVXOaj8PK2l7WJ3RER9xtqwdhxkhw/edit?usp=sharing"",""สิงห์บุรี!I44"")"),0)</f>
        <v>0</v>
      </c>
      <c r="J109" s="205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IFERROR(__xludf.DUMMYFUNCTION("IMPORTRANGE(""https://docs.google.com/spreadsheets/d/1SX6NBoVAgQJ6U1MVXOaj8PK2l7WJ3RER9xtqwdhxkhw/edit?usp=sharing"",""สิงห์บุรี!I45"")"),0)</f>
        <v>0</v>
      </c>
      <c r="J110" s="205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IFERROR(__xludf.DUMMYFUNCTION("IMPORTRANGE(""https://docs.google.com/spreadsheets/d/1SX6NBoVAgQJ6U1MVXOaj8PK2l7WJ3RER9xtqwdhxkhw/edit?usp=sharing"",""สิงห์บุรี!I46"")"),0)</f>
        <v>0</v>
      </c>
      <c r="J111" s="205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IFERROR(__xludf.DUMMYFUNCTION("IMPORTRANGE(""https://docs.google.com/spreadsheets/d/1SX6NBoVAgQJ6U1MVXOaj8PK2l7WJ3RER9xtqwdhxkhw/edit?usp=sharing"",""สิงห์บุรี!I47"")"),0)</f>
        <v>0</v>
      </c>
      <c r="J112" s="205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IFERROR(__xludf.DUMMYFUNCTION("IMPORTRANGE(""https://docs.google.com/spreadsheets/d/1SX6NBoVAgQJ6U1MVXOaj8PK2l7WJ3RER9xtqwdhxkhw/edit?usp=sharing"",""สิงห์บุรี!I48"")"),0)</f>
        <v>0</v>
      </c>
      <c r="J113" s="205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IFERROR(__xludf.DUMMYFUNCTION("IMPORTRANGE(""https://docs.google.com/spreadsheets/d/1Yj_ptqi66GCucihVvJfMjLAmec39IyEx_6qawtMGysU/edit?usp=sharing"",""สบก!BA77"")"),0)</f>
        <v>0</v>
      </c>
      <c r="N122" s="170">
        <f ca="1">IFERROR(__xludf.DUMMYFUNCTION("IMPORTRANGE(""https://docs.google.com/spreadsheets/d/1Yj_ptqi66GCucihVvJfMjLAmec39IyEx_6qawtMGysU/edit?usp=sharing"",""สบก!BB77"")"),0)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IFERROR(__xludf.DUMMYFUNCTION("IMPORTRANGE(""https://docs.google.com/spreadsheets/d/1Yj_ptqi66GCucihVvJfMjLAmec39IyEx_6qawtMGysU/edit?usp=sharing"",""สบก!AW77"")"),0)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IFERROR(__xludf.DUMMYFUNCTION("IMPORTRANGE(""https://docs.google.com/spreadsheets/d/1Yj_ptqi66GCucihVvJfMjLAmec39IyEx_6qawtMGysU/edit?usp=sharing"",""สบก!AX77"")"),0)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275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IFERROR(__xludf.DUMMYFUNCTION("IMPORTRANGE(""https://docs.google.com/spreadsheets/d/1SX6NBoVAgQJ6U1MVXOaj8PK2l7WJ3RER9xtqwdhxkhw/edit?usp=sharing"",""สิงห์บุรี!I62"")"),0)</f>
        <v>0</v>
      </c>
      <c r="J132" s="205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IFERROR(__xludf.DUMMYFUNCTION("IMPORTRANGE(""https://docs.google.com/spreadsheets/d/1SX6NBoVAgQJ6U1MVXOaj8PK2l7WJ3RER9xtqwdhxkhw/edit?usp=sharing"",""สิงห์บุรี!I63"")"),0)</f>
        <v>0</v>
      </c>
      <c r="J133" s="205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28700</v>
      </c>
      <c r="M140" s="152">
        <f t="shared" ca="1" si="64"/>
        <v>25750</v>
      </c>
      <c r="N140" s="152">
        <f t="shared" ca="1" si="64"/>
        <v>14678</v>
      </c>
      <c r="O140" s="151">
        <f t="shared" ref="O140:O142" ca="1" si="65">IF(L140&gt;0,N140*100/L140,0)</f>
        <v>51.142857142857146</v>
      </c>
      <c r="P140" s="151">
        <f t="shared" ref="P140:P142" ca="1" si="66">IF(M140&gt;0,N140*100/M140,0)</f>
        <v>57.001941747572815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28700</v>
      </c>
      <c r="M142" s="157">
        <f t="shared" ca="1" si="68"/>
        <v>25750</v>
      </c>
      <c r="N142" s="157">
        <f t="shared" ca="1" si="68"/>
        <v>14678</v>
      </c>
      <c r="O142" s="156">
        <f t="shared" ca="1" si="65"/>
        <v>51.142857142857146</v>
      </c>
      <c r="P142" s="156">
        <f t="shared" ca="1" si="66"/>
        <v>57.001941747572815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28700</v>
      </c>
      <c r="M144" s="169">
        <f ca="1">IFERROR(__xludf.DUMMYFUNCTION("IMPORTRANGE(""https://docs.google.com/spreadsheets/d/1Yj_ptqi66GCucihVvJfMjLAmec39IyEx_6qawtMGysU/edit?usp=sharing"",""สบก!BJ77"")"),25750)</f>
        <v>25750</v>
      </c>
      <c r="N144" s="170">
        <f ca="1">IFERROR(__xludf.DUMMYFUNCTION("IMPORTRANGE(""https://docs.google.com/spreadsheets/d/1Yj_ptqi66GCucihVvJfMjLAmec39IyEx_6qawtMGysU/edit?usp=sharing"",""สบก!BK77"")"),14678)</f>
        <v>14678</v>
      </c>
      <c r="O144" s="170">
        <f ca="1">IF(L144&gt;0,N144*100/L144,0)</f>
        <v>51.142857142857146</v>
      </c>
      <c r="P144" s="170">
        <f ca="1">IF(M144&gt;0,N144*100/M144,0)</f>
        <v>57.001941747572815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IFERROR(__xludf.DUMMYFUNCTION("IMPORTRANGE(""https://docs.google.com/spreadsheets/d/1Yj_ptqi66GCucihVvJfMjLAmec39IyEx_6qawtMGysU/edit?usp=sharing"",""สบก!BF77"")"),0)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IFERROR(__xludf.DUMMYFUNCTION("IMPORTRANGE(""https://docs.google.com/spreadsheets/d/1Yj_ptqi66GCucihVvJfMjLAmec39IyEx_6qawtMGysU/edit?usp=sharing"",""สบก!BG77"")"),28700)</f>
        <v>28700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IFERROR(__xludf.DUMMYFUNCTION("IMPORTRANGE(""https://docs.google.com/spreadsheets/d/1SX6NBoVAgQJ6U1MVXOaj8PK2l7WJ3RER9xtqwdhxkhw/edit?usp=sharing"",""สิงห์บุรี!J79"")"),0)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IFERROR(__xludf.DUMMYFUNCTION("IMPORTRANGE(""https://docs.google.com/spreadsheets/d/1SX6NBoVAgQJ6U1MVXOaj8PK2l7WJ3RER9xtqwdhxkhw/edit?usp=sharing"",""สิงห์บุรี!J80"")"),1)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IFERROR(__xludf.DUMMYFUNCTION("IMPORTRANGE(""https://docs.google.com/spreadsheets/d/1SX6NBoVAgQJ6U1MVXOaj8PK2l7WJ3RER9xtqwdhxkhw/edit?usp=sharing"",""สิงห์บุรี!J81"")"),1)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IFERROR(__xludf.DUMMYFUNCTION("IMPORTRANGE(""https://docs.google.com/spreadsheets/d/1SX6NBoVAgQJ6U1MVXOaj8PK2l7WJ3RER9xtqwdhxkhw/edit?usp=sharing"",""สิงห์บุรี!J82"")"),1)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IFERROR(__xludf.DUMMYFUNCTION("IMPORTRANGE(""https://docs.google.com/spreadsheets/d/1SX6NBoVAgQJ6U1MVXOaj8PK2l7WJ3RER9xtqwdhxkhw/edit?usp=sharing"",""สิงห์บุรี!I83"")"),4)</f>
        <v>4</v>
      </c>
      <c r="J158" s="190">
        <f ca="1">IFERROR(__xludf.DUMMYFUNCTION("IMPORTRANGE(""https://docs.google.com/spreadsheets/d/1SX6NBoVAgQJ6U1MVXOaj8PK2l7WJ3RER9xtqwdhxkhw/edit?usp=sharing"",""สิงห์บุรี!J83"")"),1)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IFERROR(__xludf.DUMMYFUNCTION("IMPORTRANGE(""https://docs.google.com/spreadsheets/d/1SX6NBoVAgQJ6U1MVXOaj8PK2l7WJ3RER9xtqwdhxkhw/edit?usp=sharing"",""สิงห์บุรี!J84"")"),42)</f>
        <v>42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IFERROR(__xludf.DUMMYFUNCTION("IMPORTRANGE(""https://docs.google.com/spreadsheets/d/1SX6NBoVAgQJ6U1MVXOaj8PK2l7WJ3RER9xtqwdhxkhw/edit?usp=sharing"",""สิงห์บุรี!J85"")"),42)</f>
        <v>42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IFERROR(__xludf.DUMMYFUNCTION("IMPORTRANGE(""https://docs.google.com/spreadsheets/d/1SX6NBoVAgQJ6U1MVXOaj8PK2l7WJ3RER9xtqwdhxkhw/edit?usp=sharing"",""สิงห์บุรี!J86"")"),0)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IFERROR(__xludf.DUMMYFUNCTION("IMPORTRANGE(""https://docs.google.com/spreadsheets/d/1SX6NBoVAgQJ6U1MVXOaj8PK2l7WJ3RER9xtqwdhxkhw/edit?usp=sharing"",""สิงห์บุรี!J87"")"),0)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IFERROR(__xludf.DUMMYFUNCTION("IMPORTRANGE(""https://docs.google.com/spreadsheets/d/1SX6NBoVAgQJ6U1MVXOaj8PK2l7WJ3RER9xtqwdhxkhw/edit?usp=sharing"",""สิงห์บุรี!J88"")"),0)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IFERROR(__xludf.DUMMYFUNCTION("IMPORTRANGE(""https://docs.google.com/spreadsheets/d/1SX6NBoVAgQJ6U1MVXOaj8PK2l7WJ3RER9xtqwdhxkhw/edit?usp=sharing"",""สิงห์บุรี!I89"")"),1)</f>
        <v>1</v>
      </c>
      <c r="J164" s="284">
        <f ca="1">IFERROR(__xludf.DUMMYFUNCTION("IMPORTRANGE(""https://docs.google.com/spreadsheets/d/1SX6NBoVAgQJ6U1MVXOaj8PK2l7WJ3RER9xtqwdhxkhw/edit?usp=sharing"",""สิงห์บุรี!J89"")"),1)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IFERROR(__xludf.DUMMYFUNCTION("IMPORTRANGE(""https://docs.google.com/spreadsheets/d/1SX6NBoVAgQJ6U1MVXOaj8PK2l7WJ3RER9xtqwdhxkhw/edit?usp=sharing"",""สิงห์บุรี!J94"")"),0)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IFERROR(__xludf.DUMMYFUNCTION("IMPORTRANGE(""https://docs.google.com/spreadsheets/d/1SX6NBoVAgQJ6U1MVXOaj8PK2l7WJ3RER9xtqwdhxkhw/edit?usp=sharing"",""สิงห์บุรี!J95"")"),0)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IFERROR(__xludf.DUMMYFUNCTION("IMPORTRANGE(""https://docs.google.com/spreadsheets/d/1SX6NBoVAgQJ6U1MVXOaj8PK2l7WJ3RER9xtqwdhxkhw/edit?usp=sharing"",""สิงห์บุรี!J96"")"),0)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IFERROR(__xludf.DUMMYFUNCTION("IMPORTRANGE(""https://docs.google.com/spreadsheets/d/1SX6NBoVAgQJ6U1MVXOaj8PK2l7WJ3RER9xtqwdhxkhw/edit?usp=sharing"",""สิงห์บุรี!J97"")"),0)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IFERROR(__xludf.DUMMYFUNCTION("IMPORTRANGE(""https://docs.google.com/spreadsheets/d/1SX6NBoVAgQJ6U1MVXOaj8PK2l7WJ3RER9xtqwdhxkhw/edit?usp=sharing"",""สิงห์บุรี!I98"")"),1)</f>
        <v>1</v>
      </c>
      <c r="J173" s="190">
        <f ca="1">IFERROR(__xludf.DUMMYFUNCTION("IMPORTRANGE(""https://docs.google.com/spreadsheets/d/1SX6NBoVAgQJ6U1MVXOaj8PK2l7WJ3RER9xtqwdhxkhw/edit?usp=sharing"",""สิงห์บุรี!J98"")"),1)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IFERROR(__xludf.DUMMYFUNCTION("IMPORTRANGE(""https://docs.google.com/spreadsheets/d/1SX6NBoVAgQJ6U1MVXOaj8PK2l7WJ3RER9xtqwdhxkhw/edit?usp=sharing"",""สิงห์บุรี!J99"")"),0)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IFERROR(__xludf.DUMMYFUNCTION("IMPORTRANGE(""https://docs.google.com/spreadsheets/d/1SX6NBoVAgQJ6U1MVXOaj8PK2l7WJ3RER9xtqwdhxkhw/edit?usp=sharing"",""สิงห์บุรี!I101"")"),0)</f>
        <v>0</v>
      </c>
      <c r="J176" s="284">
        <f ca="1">IFERROR(__xludf.DUMMYFUNCTION("IMPORTRANGE(""https://docs.google.com/spreadsheets/d/1SX6NBoVAgQJ6U1MVXOaj8PK2l7WJ3RER9xtqwdhxkhw/edit?usp=sharing"",""สิงห์บุรี!J101"")"),0)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IFERROR(__xludf.DUMMYFUNCTION("IMPORTRANGE(""https://docs.google.com/spreadsheets/d/1SX6NBoVAgQJ6U1MVXOaj8PK2l7WJ3RER9xtqwdhxkhw/edit?usp=sharing"",""สิงห์บุรี!I110"")"),0)</f>
        <v>0</v>
      </c>
      <c r="J185" s="205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IFERROR(__xludf.DUMMYFUNCTION("IMPORTRANGE(""https://docs.google.com/spreadsheets/d/1SX6NBoVAgQJ6U1MVXOaj8PK2l7WJ3RER9xtqwdhxkhw/edit?usp=sharing"",""สิงห์บุรี!I111"")"),0)</f>
        <v>0</v>
      </c>
      <c r="J186" s="205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IFERROR(__xludf.DUMMYFUNCTION("IMPORTRANGE(""https://docs.google.com/spreadsheets/d/1SX6NBoVAgQJ6U1MVXOaj8PK2l7WJ3RER9xtqwdhxkhw/edit?usp=sharing"",""สิงห์บุรี!I114"")"),8000)</f>
        <v>8000</v>
      </c>
      <c r="J189" s="284">
        <f ca="1">IFERROR(__xludf.DUMMYFUNCTION("IMPORTRANGE(""https://docs.google.com/spreadsheets/d/1SX6NBoVAgQJ6U1MVXOaj8PK2l7WJ3RER9xtqwdhxkhw/edit?usp=sharing"",""สิงห์บุรี!J114"")"),0)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IFERROR(__xludf.DUMMYFUNCTION("IMPORTRANGE(""https://docs.google.com/spreadsheets/d/1SX6NBoVAgQJ6U1MVXOaj8PK2l7WJ3RER9xtqwdhxkhw/edit?usp=sharing"",""สิงห์บุรี!J119"")"),1)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IFERROR(__xludf.DUMMYFUNCTION("IMPORTRANGE(""https://docs.google.com/spreadsheets/d/1SX6NBoVAgQJ6U1MVXOaj8PK2l7WJ3RER9xtqwdhxkhw/edit?usp=sharing"",""สิงห์บุรี!J120"")"),0)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IFERROR(__xludf.DUMMYFUNCTION("IMPORTRANGE(""https://docs.google.com/spreadsheets/d/1SX6NBoVAgQJ6U1MVXOaj8PK2l7WJ3RER9xtqwdhxkhw/edit?usp=sharing"",""สิงห์บุรี!J121"")"),0)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IFERROR(__xludf.DUMMYFUNCTION("IMPORTRANGE(""https://docs.google.com/spreadsheets/d/1SX6NBoVAgQJ6U1MVXOaj8PK2l7WJ3RER9xtqwdhxkhw/edit?usp=sharing"",""สิงห์บุรี!J122"")"),0)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IFERROR(__xludf.DUMMYFUNCTION("IMPORTRANGE(""https://docs.google.com/spreadsheets/d/1SX6NBoVAgQJ6U1MVXOaj8PK2l7WJ3RER9xtqwdhxkhw/edit?usp=sharing"",""สิงห์บุรี!I124"")"),8000)</f>
        <v>8000</v>
      </c>
      <c r="J199" s="190">
        <f ca="1">IFERROR(__xludf.DUMMYFUNCTION("IMPORTRANGE(""https://docs.google.com/spreadsheets/d/1SX6NBoVAgQJ6U1MVXOaj8PK2l7WJ3RER9xtqwdhxkhw/edit?usp=sharing"",""สิงห์บุรี!J124"")"),0)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IFERROR(__xludf.DUMMYFUNCTION("IMPORTRANGE(""https://docs.google.com/spreadsheets/d/1SX6NBoVAgQJ6U1MVXOaj8PK2l7WJ3RER9xtqwdhxkhw/edit?usp=sharing"",""สิงห์บุรี!I125"")"),8000)</f>
        <v>8000</v>
      </c>
      <c r="J200" s="190">
        <f ca="1">IFERROR(__xludf.DUMMYFUNCTION("IMPORTRANGE(""https://docs.google.com/spreadsheets/d/1SX6NBoVAgQJ6U1MVXOaj8PK2l7WJ3RER9xtqwdhxkhw/edit?usp=sharing"",""สิงห์บุรี!J125"")"),0)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IFERROR(__xludf.DUMMYFUNCTION("IMPORTRANGE(""https://docs.google.com/spreadsheets/d/1SX6NBoVAgQJ6U1MVXOaj8PK2l7WJ3RER9xtqwdhxkhw/edit?usp=sharing"",""สิงห์บุรี!I126"")"),0)</f>
        <v>0</v>
      </c>
      <c r="J201" s="190">
        <f ca="1">IFERROR(__xludf.DUMMYFUNCTION("IMPORTRANGE(""https://docs.google.com/spreadsheets/d/1SX6NBoVAgQJ6U1MVXOaj8PK2l7WJ3RER9xtqwdhxkhw/edit?usp=sharing"",""สิงห์บุรี!J126"")"),0)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IFERROR(__xludf.DUMMYFUNCTION("IMPORTRANGE(""https://docs.google.com/spreadsheets/d/1SX6NBoVAgQJ6U1MVXOaj8PK2l7WJ3RER9xtqwdhxkhw/edit?usp=sharing"",""สิงห์บุรี!J127"")"),0)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IFERROR(__xludf.DUMMYFUNCTION("IMPORTRANGE(""https://docs.google.com/spreadsheets/d/1SX6NBoVAgQJ6U1MVXOaj8PK2l7WJ3RER9xtqwdhxkhw/edit?usp=sharing"",""สิงห์บุรี!J128"")"),0)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IFERROR(__xludf.DUMMYFUNCTION("IMPORTRANGE(""https://docs.google.com/spreadsheets/d/1SX6NBoVAgQJ6U1MVXOaj8PK2l7WJ3RER9xtqwdhxkhw/edit?usp=sharing"",""สิงห์บุรี!I129"")"),0)</f>
        <v>0</v>
      </c>
      <c r="J204" s="284">
        <f ca="1">IFERROR(__xludf.DUMMYFUNCTION("IMPORTRANGE(""https://docs.google.com/spreadsheets/d/1SX6NBoVAgQJ6U1MVXOaj8PK2l7WJ3RER9xtqwdhxkhw/edit?usp=sharing"",""สิงห์บุรี!J129"")"),0)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IFERROR(__xludf.DUMMYFUNCTION("IMPORTRANGE(""https://docs.google.com/spreadsheets/d/1SX6NBoVAgQJ6U1MVXOaj8PK2l7WJ3RER9xtqwdhxkhw/edit?usp=sharing"",""สิงห์บุรี!I138"")"),0)</f>
        <v>0</v>
      </c>
      <c r="J213" s="205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IFERROR(__xludf.DUMMYFUNCTION("IMPORTRANGE(""https://docs.google.com/spreadsheets/d/1SX6NBoVAgQJ6U1MVXOaj8PK2l7WJ3RER9xtqwdhxkhw/edit?usp=sharing"",""สิงห์บุรี!I140"")"),0)</f>
        <v>0</v>
      </c>
      <c r="J215" s="205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IFERROR(__xludf.DUMMYFUNCTION("IMPORTRANGE(""https://docs.google.com/spreadsheets/d/1SX6NBoVAgQJ6U1MVXOaj8PK2l7WJ3RER9xtqwdhxkhw/edit?usp=sharing"",""สิงห์บุรี!I141"")"),0)</f>
        <v>0</v>
      </c>
      <c r="J216" s="205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IFERROR(__xludf.DUMMYFUNCTION("IMPORTRANGE(""https://docs.google.com/spreadsheets/d/1Yj_ptqi66GCucihVvJfMjLAmec39IyEx_6qawtMGysU/edit?usp=sharing"",""สบก!BS77"")"),19295)</f>
        <v>19295</v>
      </c>
      <c r="N224" s="170">
        <f ca="1">IFERROR(__xludf.DUMMYFUNCTION("IMPORTRANGE(""https://docs.google.com/spreadsheets/d/1Yj_ptqi66GCucihVvJfMjLAmec39IyEx_6qawtMGysU/edit?usp=sharing"",""สบก!BT77"")"),19295)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IFERROR(__xludf.DUMMYFUNCTION("IMPORTRANGE(""https://docs.google.com/spreadsheets/d/1Yj_ptqi66GCucihVvJfMjLAmec39IyEx_6qawtMGysU/edit?usp=sharing"",""สบก!BO77"")"),0)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IFERROR(__xludf.DUMMYFUNCTION("IMPORTRANGE(""https://docs.google.com/spreadsheets/d/1Yj_ptqi66GCucihVvJfMjLAmec39IyEx_6qawtMGysU/edit?usp=sharing"",""สบก!BP77"")"),19295)</f>
        <v>19295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IFERROR(__xludf.DUMMYFUNCTION("IMPORTRANGE(""https://docs.google.com/spreadsheets/d/1SX6NBoVAgQJ6U1MVXOaj8PK2l7WJ3RER9xtqwdhxkhw/edit?usp=sharing"",""สิงห์บุรี!J151"")"),0)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IFERROR(__xludf.DUMMYFUNCTION("IMPORTRANGE(""https://docs.google.com/spreadsheets/d/1SX6NBoVAgQJ6U1MVXOaj8PK2l7WJ3RER9xtqwdhxkhw/edit?usp=sharing"",""สิงห์บุรี!J152"")"),0)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IFERROR(__xludf.DUMMYFUNCTION("IMPORTRANGE(""https://docs.google.com/spreadsheets/d/1SX6NBoVAgQJ6U1MVXOaj8PK2l7WJ3RER9xtqwdhxkhw/edit?usp=sharing"",""สิงห์บุรี!J153"")"),0)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IFERROR(__xludf.DUMMYFUNCTION("IMPORTRANGE(""https://docs.google.com/spreadsheets/d/1SX6NBoVAgQJ6U1MVXOaj8PK2l7WJ3RER9xtqwdhxkhw/edit?usp=sharing"",""สิงห์บุรี!J154"")"),0)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IFERROR(__xludf.DUMMYFUNCTION("IMPORTRANGE(""https://docs.google.com/spreadsheets/d/1SX6NBoVAgQJ6U1MVXOaj8PK2l7WJ3RER9xtqwdhxkhw/edit?usp=sharing"",""สิงห์บุรี!I155"")"),13)</f>
        <v>13</v>
      </c>
      <c r="J235" s="190">
        <f ca="1">IFERROR(__xludf.DUMMYFUNCTION("IMPORTRANGE(""https://docs.google.com/spreadsheets/d/1SX6NBoVAgQJ6U1MVXOaj8PK2l7WJ3RER9xtqwdhxkhw/edit?usp=sharing"",""สิงห์บุรี!J155"")"),13)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IFERROR(__xludf.DUMMYFUNCTION("IMPORTRANGE(""https://docs.google.com/spreadsheets/d/1SX6NBoVAgQJ6U1MVXOaj8PK2l7WJ3RER9xtqwdhxkhw/edit?usp=sharing"",""สิงห์บุรี!J156"")"),1)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IFERROR(__xludf.DUMMYFUNCTION("IMPORTRANGE(""https://docs.google.com/spreadsheets/d/1SX6NBoVAgQJ6U1MVXOaj8PK2l7WJ3RER9xtqwdhxkhw/edit?usp=sharing"",""สิงห์บุรี!J159"")"),"")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IFERROR(__xludf.DUMMYFUNCTION("IMPORTRANGE(""https://docs.google.com/spreadsheets/d/1SX6NBoVAgQJ6U1MVXOaj8PK2l7WJ3RER9xtqwdhxkhw/edit?usp=sharing"",""สิงห์บุรี!J161"")"),0)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IFERROR(__xludf.DUMMYFUNCTION("IMPORTRANGE(""https://docs.google.com/spreadsheets/d/1SX6NBoVAgQJ6U1MVXOaj8PK2l7WJ3RER9xtqwdhxkhw/edit?usp=sharing"",""สิงห์บุรี!J162"")"),0)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IFERROR(__xludf.DUMMYFUNCTION("IMPORTRANGE(""https://docs.google.com/spreadsheets/d/1SX6NBoVAgQJ6U1MVXOaj8PK2l7WJ3RER9xtqwdhxkhw/edit?usp=sharing"",""สิงห์บุรี!J163"")"),0)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IFERROR(__xludf.DUMMYFUNCTION("IMPORTRANGE(""https://docs.google.com/spreadsheets/d/1SX6NBoVAgQJ6U1MVXOaj8PK2l7WJ3RER9xtqwdhxkhw/edit?usp=sharing"",""สิงห์บุรี!I164"")"),0)</f>
        <v>0</v>
      </c>
      <c r="J244" s="189">
        <f ca="1">IFERROR(__xludf.DUMMYFUNCTION("IMPORTRANGE(""https://docs.google.com/spreadsheets/d/1SX6NBoVAgQJ6U1MVXOaj8PK2l7WJ3RER9xtqwdhxkhw/edit?usp=sharing"",""สิงห์บุรี!J164"")"),0)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IFERROR(__xludf.DUMMYFUNCTION("IMPORTRANGE(""https://docs.google.com/spreadsheets/d/1SX6NBoVAgQJ6U1MVXOaj8PK2l7WJ3RER9xtqwdhxkhw/edit?usp=sharing"",""สิงห์บุรี!J165"")"),0)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IFERROR(__xludf.DUMMYFUNCTION("IMPORTRANGE(""https://docs.google.com/spreadsheets/d/1SX6NBoVAgQJ6U1MVXOaj8PK2l7WJ3RER9xtqwdhxkhw/edit?usp=sharing"",""สิงห์บุรี!I169"")"),0)</f>
        <v>0</v>
      </c>
      <c r="J249" s="316">
        <f ca="1">IFERROR(__xludf.DUMMYFUNCTION("IMPORTRANGE(""https://docs.google.com/spreadsheets/d/1SX6NBoVAgQJ6U1MVXOaj8PK2l7WJ3RER9xtqwdhxkhw/edit?usp=sharing"",""สิงห์บุรี!J169"")"),0)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IFERROR(__xludf.DUMMYFUNCTION("IMPORTRANGE(""https://docs.google.com/spreadsheets/d/1Yj_ptqi66GCucihVvJfMjLAmec39IyEx_6qawtMGysU/edit?usp=sharing"",""สบก!CB77"")"),0)</f>
        <v>0</v>
      </c>
      <c r="N254" s="170">
        <f ca="1">IFERROR(__xludf.DUMMYFUNCTION("IMPORTRANGE(""https://docs.google.com/spreadsheets/d/1Yj_ptqi66GCucihVvJfMjLAmec39IyEx_6qawtMGysU/edit?usp=sharing"",""สบก!CC77"")"),0)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IFERROR(__xludf.DUMMYFUNCTION("IMPORTRANGE(""https://docs.google.com/spreadsheets/d/1Yj_ptqi66GCucihVvJfMjLAmec39IyEx_6qawtMGysU/edit?usp=sharing"",""สบก!BX77"")"),0)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IFERROR(__xludf.DUMMYFUNCTION("IMPORTRANGE(""https://docs.google.com/spreadsheets/d/1Yj_ptqi66GCucihVvJfMjLAmec39IyEx_6qawtMGysU/edit?usp=sharing"",""สบก!BY77"")"),0)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IFERROR(__xludf.DUMMYFUNCTION("IMPORTRANGE(""https://docs.google.com/spreadsheets/d/1SX6NBoVAgQJ6U1MVXOaj8PK2l7WJ3RER9xtqwdhxkhw/edit?usp=sharing"",""สิงห์บุรี!J175"")"),0)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IFERROR(__xludf.DUMMYFUNCTION("IMPORTRANGE(""https://docs.google.com/spreadsheets/d/1SX6NBoVAgQJ6U1MVXOaj8PK2l7WJ3RER9xtqwdhxkhw/edit?usp=sharing"",""สิงห์บุรี!J176"")"),0)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IFERROR(__xludf.DUMMYFUNCTION("IMPORTRANGE(""https://docs.google.com/spreadsheets/d/1SX6NBoVAgQJ6U1MVXOaj8PK2l7WJ3RER9xtqwdhxkhw/edit?usp=sharing"",""สิงห์บุรี!J177"")"),0)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IFERROR(__xludf.DUMMYFUNCTION("IMPORTRANGE(""https://docs.google.com/spreadsheets/d/1SX6NBoVAgQJ6U1MVXOaj8PK2l7WJ3RER9xtqwdhxkhw/edit?usp=sharing"",""สิงห์บุรี!J178"")"),0)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IFERROR(__xludf.DUMMYFUNCTION("IMPORTRANGE(""https://docs.google.com/spreadsheets/d/1SX6NBoVAgQJ6U1MVXOaj8PK2l7WJ3RER9xtqwdhxkhw/edit?usp=sharing"",""สิงห์บุรี!I179"")"),0)</f>
        <v>0</v>
      </c>
      <c r="J264" s="190">
        <f ca="1">IFERROR(__xludf.DUMMYFUNCTION("IMPORTRANGE(""https://docs.google.com/spreadsheets/d/1SX6NBoVAgQJ6U1MVXOaj8PK2l7WJ3RER9xtqwdhxkhw/edit?usp=sharing"",""สิงห์บุรี!J179"")"),0)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IFERROR(__xludf.DUMMYFUNCTION("IMPORTRANGE(""https://docs.google.com/spreadsheets/d/1SX6NBoVAgQJ6U1MVXOaj8PK2l7WJ3RER9xtqwdhxkhw/edit?usp=sharing"",""สิงห์บุรี!I180"")"),0)</f>
        <v>0</v>
      </c>
      <c r="J265" s="190">
        <f ca="1">IFERROR(__xludf.DUMMYFUNCTION("IMPORTRANGE(""https://docs.google.com/spreadsheets/d/1SX6NBoVAgQJ6U1MVXOaj8PK2l7WJ3RER9xtqwdhxkhw/edit?usp=sharing"",""สิงห์บุรี!J180"")"),0)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IFERROR(__xludf.DUMMYFUNCTION("IMPORTRANGE(""https://docs.google.com/spreadsheets/d/1SX6NBoVAgQJ6U1MVXOaj8PK2l7WJ3RER9xtqwdhxkhw/edit?usp=sharing"",""สิงห์บุรี!I181"")"),0)</f>
        <v>0</v>
      </c>
      <c r="J266" s="190">
        <f ca="1">IFERROR(__xludf.DUMMYFUNCTION("IMPORTRANGE(""https://docs.google.com/spreadsheets/d/1SX6NBoVAgQJ6U1MVXOaj8PK2l7WJ3RER9xtqwdhxkhw/edit?usp=sharing"",""สิงห์บุรี!J181"")"),0)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IFERROR(__xludf.DUMMYFUNCTION("IMPORTRANGE(""https://docs.google.com/spreadsheets/d/1SX6NBoVAgQJ6U1MVXOaj8PK2l7WJ3RER9xtqwdhxkhw/edit?usp=sharing"",""สิงห์บุรี!I182"")"),0)</f>
        <v>0</v>
      </c>
      <c r="J267" s="190">
        <f ca="1">IFERROR(__xludf.DUMMYFUNCTION("IMPORTRANGE(""https://docs.google.com/spreadsheets/d/1SX6NBoVAgQJ6U1MVXOaj8PK2l7WJ3RER9xtqwdhxkhw/edit?usp=sharing"",""สิงห์บุรี!J182"")"),0)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IFERROR(__xludf.DUMMYFUNCTION("IMPORTRANGE(""https://docs.google.com/spreadsheets/d/1SX6NBoVAgQJ6U1MVXOaj8PK2l7WJ3RER9xtqwdhxkhw/edit?usp=sharing"",""สิงห์บุรี!J183"")"),0)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IFERROR(__xludf.DUMMYFUNCTION("IMPORTRANGE(""https://docs.google.com/spreadsheets/d/1SX6NBoVAgQJ6U1MVXOaj8PK2l7WJ3RER9xtqwdhxkhw/edit?usp=sharing"",""สิงห์บุรี!J184"")"),0)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IFERROR(__xludf.DUMMYFUNCTION("IMPORTRANGE(""https://docs.google.com/spreadsheets/d/1SX6NBoVAgQJ6U1MVXOaj8PK2l7WJ3RER9xtqwdhxkhw/edit?usp=sharing"",""สิงห์บุรี!I185"")"),0)</f>
        <v>0</v>
      </c>
      <c r="J270" s="316">
        <f ca="1">IFERROR(__xludf.DUMMYFUNCTION("IMPORTRANGE(""https://docs.google.com/spreadsheets/d/1SX6NBoVAgQJ6U1MVXOaj8PK2l7WJ3RER9xtqwdhxkhw/edit?usp=sharing"",""สิงห์บุรี!J185"")"),0)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IFERROR(__xludf.DUMMYFUNCTION("IMPORTRANGE(""https://docs.google.com/spreadsheets/d/1Yj_ptqi66GCucihVvJfMjLAmec39IyEx_6qawtMGysU/edit?usp=sharing"",""สบก!CK77"")"),0)</f>
        <v>0</v>
      </c>
      <c r="N275" s="170">
        <f ca="1">IFERROR(__xludf.DUMMYFUNCTION("IMPORTRANGE(""https://docs.google.com/spreadsheets/d/1Yj_ptqi66GCucihVvJfMjLAmec39IyEx_6qawtMGysU/edit?usp=sharing"",""สบก!CL77"")"),0)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IFERROR(__xludf.DUMMYFUNCTION("IMPORTRANGE(""https://docs.google.com/spreadsheets/d/1Yj_ptqi66GCucihVvJfMjLAmec39IyEx_6qawtMGysU/edit?usp=sharing"",""สบก!CG77"")"),0)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IFERROR(__xludf.DUMMYFUNCTION("IMPORTRANGE(""https://docs.google.com/spreadsheets/d/1Yj_ptqi66GCucihVvJfMjLAmec39IyEx_6qawtMGysU/edit?usp=sharing"",""สบก!CH77"")"),0)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IFERROR(__xludf.DUMMYFUNCTION("IMPORTRANGE(""https://docs.google.com/spreadsheets/d/1SX6NBoVAgQJ6U1MVXOaj8PK2l7WJ3RER9xtqwdhxkhw/edit?usp=sharing"",""สิงห์บุรี!J191"")"),0)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IFERROR(__xludf.DUMMYFUNCTION("IMPORTRANGE(""https://docs.google.com/spreadsheets/d/1SX6NBoVAgQJ6U1MVXOaj8PK2l7WJ3RER9xtqwdhxkhw/edit?usp=sharing"",""สิงห์บุรี!J192"")"),0)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IFERROR(__xludf.DUMMYFUNCTION("IMPORTRANGE(""https://docs.google.com/spreadsheets/d/1SX6NBoVAgQJ6U1MVXOaj8PK2l7WJ3RER9xtqwdhxkhw/edit?usp=sharing"",""สิงห์บุรี!J193"")"),0)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IFERROR(__xludf.DUMMYFUNCTION("IMPORTRANGE(""https://docs.google.com/spreadsheets/d/1SX6NBoVAgQJ6U1MVXOaj8PK2l7WJ3RER9xtqwdhxkhw/edit?usp=sharing"",""สิงห์บุรี!J194"")"),0)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IFERROR(__xludf.DUMMYFUNCTION("IMPORTRANGE(""https://docs.google.com/spreadsheets/d/1SX6NBoVAgQJ6U1MVXOaj8PK2l7WJ3RER9xtqwdhxkhw/edit?usp=sharing"",""สิงห์บุรี!I195"")"),0)</f>
        <v>0</v>
      </c>
      <c r="J285" s="190">
        <f ca="1">IFERROR(__xludf.DUMMYFUNCTION("IMPORTRANGE(""https://docs.google.com/spreadsheets/d/1SX6NBoVAgQJ6U1MVXOaj8PK2l7WJ3RER9xtqwdhxkhw/edit?usp=sharing"",""สิงห์บุรี!J195"")"),0)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IFERROR(__xludf.DUMMYFUNCTION("IMPORTRANGE(""https://docs.google.com/spreadsheets/d/1SX6NBoVAgQJ6U1MVXOaj8PK2l7WJ3RER9xtqwdhxkhw/edit?usp=sharing"",""สิงห์บุรี!J196"")"),0)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IFERROR(__xludf.DUMMYFUNCTION("IMPORTRANGE(""https://docs.google.com/spreadsheets/d/1SX6NBoVAgQJ6U1MVXOaj8PK2l7WJ3RER9xtqwdhxkhw/edit?usp=sharing"",""สิงห์บุรี!I199"")"),0)</f>
        <v>0</v>
      </c>
      <c r="J289" s="316">
        <f ca="1">IFERROR(__xludf.DUMMYFUNCTION("IMPORTRANGE(""https://docs.google.com/spreadsheets/d/1SX6NBoVAgQJ6U1MVXOaj8PK2l7WJ3RER9xtqwdhxkhw/edit?usp=sharing"",""สิงห์บุรี!J199"")"),0)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IFERROR(__xludf.DUMMYFUNCTION("IMPORTRANGE(""https://docs.google.com/spreadsheets/d/1Yj_ptqi66GCucihVvJfMjLAmec39IyEx_6qawtMGysU/edit?usp=sharing"",""สบก!CT77"")"),0)</f>
        <v>0</v>
      </c>
      <c r="N294" s="170">
        <f ca="1">IFERROR(__xludf.DUMMYFUNCTION("IMPORTRANGE(""https://docs.google.com/spreadsheets/d/1Yj_ptqi66GCucihVvJfMjLAmec39IyEx_6qawtMGysU/edit?usp=sharing"",""สบก!CU77"")"),0)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IFERROR(__xludf.DUMMYFUNCTION("IMPORTRANGE(""https://docs.google.com/spreadsheets/d/1Yj_ptqi66GCucihVvJfMjLAmec39IyEx_6qawtMGysU/edit?usp=sharing"",""สบก!CP77"")"),0)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IFERROR(__xludf.DUMMYFUNCTION("IMPORTRANGE(""https://docs.google.com/spreadsheets/d/1Yj_ptqi66GCucihVvJfMjLAmec39IyEx_6qawtMGysU/edit?usp=sharing"",""สบก!CQ77"")"),0)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IFERROR(__xludf.DUMMYFUNCTION("IMPORTRANGE(""https://docs.google.com/spreadsheets/d/1SX6NBoVAgQJ6U1MVXOaj8PK2l7WJ3RER9xtqwdhxkhw/edit?usp=sharing"",""สิงห์บุรี!I209"")"),0)</f>
        <v>0</v>
      </c>
      <c r="J304" s="205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IFERROR(__xludf.DUMMYFUNCTION("IMPORTRANGE(""https://docs.google.com/spreadsheets/d/1SX6NBoVAgQJ6U1MVXOaj8PK2l7WJ3RER9xtqwdhxkhw/edit?usp=sharing"",""สิงห์บุรี!I211"")"),0)</f>
        <v>0</v>
      </c>
      <c r="J306" s="205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IFERROR(__xludf.DUMMYFUNCTION("IMPORTRANGE(""https://docs.google.com/spreadsheets/d/1SX6NBoVAgQJ6U1MVXOaj8PK2l7WJ3RER9xtqwdhxkhw/edit?usp=sharing"",""สิงห์บุรี!I214"")"),0)</f>
        <v>0</v>
      </c>
      <c r="J309" s="333">
        <f ca="1">IFERROR(__xludf.DUMMYFUNCTION("IMPORTRANGE(""https://docs.google.com/spreadsheets/d/1SX6NBoVAgQJ6U1MVXOaj8PK2l7WJ3RER9xtqwdhxkhw/edit?usp=sharing"",""สิงห์บุรี!J214"")"),0)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IFERROR(__xludf.DUMMYFUNCTION("IMPORTRANGE(""https://docs.google.com/spreadsheets/d/1Yj_ptqi66GCucihVvJfMjLAmec39IyEx_6qawtMGysU/edit?usp=sharing"",""สบก!DC77"")"),0)</f>
        <v>0</v>
      </c>
      <c r="N314" s="170">
        <f ca="1">IFERROR(__xludf.DUMMYFUNCTION("IMPORTRANGE(""https://docs.google.com/spreadsheets/d/1Yj_ptqi66GCucihVvJfMjLAmec39IyEx_6qawtMGysU/edit?usp=sharing"",""สบก!DD77"")"),0)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IFERROR(__xludf.DUMMYFUNCTION("IMPORTRANGE(""https://docs.google.com/spreadsheets/d/1Yj_ptqi66GCucihVvJfMjLAmec39IyEx_6qawtMGysU/edit?usp=sharing"",""สบก!CY77"")"),0)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IFERROR(__xludf.DUMMYFUNCTION("IMPORTRANGE(""https://docs.google.com/spreadsheets/d/1Yj_ptqi66GCucihVvJfMjLAmec39IyEx_6qawtMGysU/edit?usp=sharing"",""สบก!CZ77"")"),0)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IFERROR(__xludf.DUMMYFUNCTION("IMPORTRANGE(""https://docs.google.com/spreadsheets/d/1SX6NBoVAgQJ6U1MVXOaj8PK2l7WJ3RER9xtqwdhxkhw/edit?usp=sharing"",""สิงห์บุรี!I224"")"),0)</f>
        <v>0</v>
      </c>
      <c r="J324" s="205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IFERROR(__xludf.DUMMYFUNCTION("IMPORTRANGE(""https://docs.google.com/spreadsheets/d/1SX6NBoVAgQJ6U1MVXOaj8PK2l7WJ3RER9xtqwdhxkhw/edit?usp=sharing"",""สิงห์บุรี!I228"")"),0)</f>
        <v>0</v>
      </c>
      <c r="J328" s="339">
        <f ca="1">IFERROR(__xludf.DUMMYFUNCTION("IMPORTRANGE(""https://docs.google.com/spreadsheets/d/1SX6NBoVAgQJ6U1MVXOaj8PK2l7WJ3RER9xtqwdhxkhw/edit?usp=sharing"",""สิงห์บุรี!J228"")"),0)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672770</v>
      </c>
      <c r="M329" s="152">
        <f t="shared" ca="1" si="98"/>
        <v>403890</v>
      </c>
      <c r="N329" s="152">
        <f t="shared" ca="1" si="98"/>
        <v>384052</v>
      </c>
      <c r="O329" s="151">
        <f t="shared" ref="O329:O331" ca="1" si="99">IF(L329&gt;0,N329*100/L329,0)</f>
        <v>57.085185130133624</v>
      </c>
      <c r="P329" s="151">
        <f t="shared" ref="P329:P331" ca="1" si="100">IF(M329&gt;0,N329*100/M329,0)</f>
        <v>95.088266607244549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672770</v>
      </c>
      <c r="M331" s="157">
        <f t="shared" ca="1" si="102"/>
        <v>403890</v>
      </c>
      <c r="N331" s="157">
        <f t="shared" ca="1" si="102"/>
        <v>384052</v>
      </c>
      <c r="O331" s="156">
        <f t="shared" ca="1" si="99"/>
        <v>57.085185130133624</v>
      </c>
      <c r="P331" s="156">
        <f t="shared" ca="1" si="100"/>
        <v>95.088266607244549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537770</v>
      </c>
      <c r="M333" s="169">
        <f ca="1">IFERROR(__xludf.DUMMYFUNCTION("IMPORTRANGE(""https://docs.google.com/spreadsheets/d/1Yj_ptqi66GCucihVvJfMjLAmec39IyEx_6qawtMGysU/edit?usp=sharing"",""สบก!DL77"")"),268890)</f>
        <v>268890</v>
      </c>
      <c r="N333" s="170">
        <f ca="1">IFERROR(__xludf.DUMMYFUNCTION("IMPORTRANGE(""https://docs.google.com/spreadsheets/d/1Yj_ptqi66GCucihVvJfMjLAmec39IyEx_6qawtMGysU/edit?usp=sharing"",""สบก!DM77"")"),249052)</f>
        <v>249052</v>
      </c>
      <c r="O333" s="170">
        <f ca="1">IF(L333&gt;0,N333*100/L333,0)</f>
        <v>46.311992115588446</v>
      </c>
      <c r="P333" s="170">
        <f ca="1">IF(M333&gt;0,N333*100/M333,0)</f>
        <v>92.622261891479781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IFERROR(__xludf.DUMMYFUNCTION("IMPORTRANGE(""https://docs.google.com/spreadsheets/d/1Yj_ptqi66GCucihVvJfMjLAmec39IyEx_6qawtMGysU/edit?usp=sharing"",""สบก!DH77"")"),493800)</f>
        <v>493800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IFERROR(__xludf.DUMMYFUNCTION("IMPORTRANGE(""https://docs.google.com/spreadsheets/d/1Yj_ptqi66GCucihVvJfMjLAmec39IyEx_6qawtMGysU/edit?usp=sharing"",""สบก!DI77"")"),43970)</f>
        <v>43970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IFERROR(__xludf.DUMMYFUNCTION("IMPORTRANGE(""https://docs.google.com/spreadsheets/d/1Yj_ptqi66GCucihVvJfMjLAmec39IyEx_6qawtMGysU/edit?usp=sharing"",""สบก!DJ77"")"),135000)</f>
        <v>135000</v>
      </c>
      <c r="M337" s="49">
        <f ca="1">L337</f>
        <v>135000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IFERROR(__xludf.DUMMYFUNCTION("IMPORTRANGE(""https://docs.google.com/spreadsheets/d/1SX6NBoVAgQJ6U1MVXOaj8PK2l7WJ3RER9xtqwdhxkhw/edit?usp=sharing"",""สิงห์บุรี!I234"")"),0)</f>
        <v>0</v>
      </c>
      <c r="J339" s="189">
        <f ca="1">IFERROR(__xludf.DUMMYFUNCTION("IMPORTRANGE(""https://docs.google.com/spreadsheets/d/1SX6NBoVAgQJ6U1MVXOaj8PK2l7WJ3RER9xtqwdhxkhw/edit?usp=sharing"",""สิงห์บุรี!J234"")"),0)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IFERROR(__xludf.DUMMYFUNCTION("IMPORTRANGE(""https://docs.google.com/spreadsheets/d/1SX6NBoVAgQJ6U1MVXOaj8PK2l7WJ3RER9xtqwdhxkhw/edit?usp=sharing"",""สิงห์บุรี!I235"")"),0)</f>
        <v>0</v>
      </c>
      <c r="J340" s="189">
        <f ca="1">IFERROR(__xludf.DUMMYFUNCTION("IMPORTRANGE(""https://docs.google.com/spreadsheets/d/1SX6NBoVAgQJ6U1MVXOaj8PK2l7WJ3RER9xtqwdhxkhw/edit?usp=sharing"",""สิงห์บุรี!J235"")"),0)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IFERROR(__xludf.DUMMYFUNCTION("IMPORTRANGE(""https://docs.google.com/spreadsheets/d/1SX6NBoVAgQJ6U1MVXOaj8PK2l7WJ3RER9xtqwdhxkhw/edit?usp=sharing"",""สิงห์บุรี!I236"")"),0)</f>
        <v>0</v>
      </c>
      <c r="J341" s="189">
        <f ca="1">IFERROR(__xludf.DUMMYFUNCTION("IMPORTRANGE(""https://docs.google.com/spreadsheets/d/1SX6NBoVAgQJ6U1MVXOaj8PK2l7WJ3RER9xtqwdhxkhw/edit?usp=sharing"",""สิงห์บุรี!J236"")"),0)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9">
        <f ca="1">IFERROR(__xludf.DUMMYFUNCTION("IMPORTRANGE(""https://docs.google.com/spreadsheets/d/1SX6NBoVAgQJ6U1MVXOaj8PK2l7WJ3RER9xtqwdhxkhw/edit?usp=sharing"",""สิงห์บุรี!J237"")"),0)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IFERROR(__xludf.DUMMYFUNCTION("IMPORTRANGE(""https://docs.google.com/spreadsheets/d/1SX6NBoVAgQJ6U1MVXOaj8PK2l7WJ3RER9xtqwdhxkhw/edit?usp=sharing"",""สิงห์บุรี!I238"")"),0)</f>
        <v>0</v>
      </c>
      <c r="J343" s="189">
        <f ca="1">IFERROR(__xludf.DUMMYFUNCTION("IMPORTRANGE(""https://docs.google.com/spreadsheets/d/1SX6NBoVAgQJ6U1MVXOaj8PK2l7WJ3RER9xtqwdhxkhw/edit?usp=sharing"",""สิงห์บุรี!J238"")"),0)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9">
        <f ca="1">IFERROR(__xludf.DUMMYFUNCTION("IMPORTRANGE(""https://docs.google.com/spreadsheets/d/1SX6NBoVAgQJ6U1MVXOaj8PK2l7WJ3RER9xtqwdhxkhw/edit?usp=sharing"",""สิงห์บุรี!J239"")"),0)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IFERROR(__xludf.DUMMYFUNCTION("IMPORTRANGE(""https://docs.google.com/spreadsheets/d/1SX6NBoVAgQJ6U1MVXOaj8PK2l7WJ3RER9xtqwdhxkhw/edit?usp=sharing"",""สิงห์บุรี!I240"")"),0)</f>
        <v>0</v>
      </c>
      <c r="J345" s="189">
        <f ca="1">IFERROR(__xludf.DUMMYFUNCTION("IMPORTRANGE(""https://docs.google.com/spreadsheets/d/1SX6NBoVAgQJ6U1MVXOaj8PK2l7WJ3RER9xtqwdhxkhw/edit?usp=sharing"",""สิงห์บุรี!J240"")"),0)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9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IFERROR(__xludf.DUMMYFUNCTION("IMPORTRANGE(""https://docs.google.com/spreadsheets/d/1SX6NBoVAgQJ6U1MVXOaj8PK2l7WJ3RER9xtqwdhxkhw/edit?usp=sharing"",""สิงห์บุรี!L242"")"),324230)</f>
        <v>324230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IFERROR(__xludf.DUMMYFUNCTION("IMPORTRANGE(""https://docs.google.com/spreadsheets/d/1SX6NBoVAgQJ6U1MVXOaj8PK2l7WJ3RER9xtqwdhxkhw/edit?usp=sharing"",""สิงห์บุรี!M242"")"),98204.33)</f>
        <v>98204.33</v>
      </c>
      <c r="O347" s="358">
        <f ca="1">+IF(L347&gt;0,N347*100/L347,0)</f>
        <v>30.28847731548592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IFERROR(__xludf.DUMMYFUNCTION("IMPORTRANGE(""https://docs.google.com/spreadsheets/d/1SX6NBoVAgQJ6U1MVXOaj8PK2l7WJ3RER9xtqwdhxkhw/edit?usp=sharing"",""สิงห์บุรี!L246"")"),0)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IFERROR(__xludf.DUMMYFUNCTION("IMPORTRANGE(""https://docs.google.com/spreadsheets/d/1SX6NBoVAgQJ6U1MVXOaj8PK2l7WJ3RER9xtqwdhxkhw/edit?usp=sharing"",""สิงห์บุรี!M246"")"),0)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IFERROR(__xludf.DUMMYFUNCTION("IMPORTRANGE(""https://docs.google.com/spreadsheets/d/1SX6NBoVAgQJ6U1MVXOaj8PK2l7WJ3RER9xtqwdhxkhw/edit?usp=sharing"",""สิงห์บุรี!L247"")"),0)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IFERROR(__xludf.DUMMYFUNCTION("IMPORTRANGE(""https://docs.google.com/spreadsheets/d/1SX6NBoVAgQJ6U1MVXOaj8PK2l7WJ3RER9xtqwdhxkhw/edit?usp=sharing"",""สิงห์บุรี!M247"")"),0)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IFERROR(__xludf.DUMMYFUNCTION("IMPORTRANGE(""https://docs.google.com/spreadsheets/d/1SX6NBoVAgQJ6U1MVXOaj8PK2l7WJ3RER9xtqwdhxkhw/edit?usp=sharing"",""สิงห์บุรี!L248"")"),0)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IFERROR(__xludf.DUMMYFUNCTION("IMPORTRANGE(""https://docs.google.com/spreadsheets/d/1SX6NBoVAgQJ6U1MVXOaj8PK2l7WJ3RER9xtqwdhxkhw/edit?usp=sharing"",""สิงห์บุรี!M248"")"),0)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IFERROR(__xludf.DUMMYFUNCTION("IMPORTRANGE(""https://docs.google.com/spreadsheets/d/1SX6NBoVAgQJ6U1MVXOaj8PK2l7WJ3RER9xtqwdhxkhw/edit?usp=sharing"",""สิงห์บุรี!L249"")"),0)</f>
        <v>0</v>
      </c>
      <c r="M354" s="170"/>
      <c r="N354" s="169">
        <f ca="1">IFERROR(__xludf.DUMMYFUNCTION("IMPORTRANGE(""https://docs.google.com/spreadsheets/d/1SX6NBoVAgQJ6U1MVXOaj8PK2l7WJ3RER9xtqwdhxkhw/edit?usp=sharing"",""สิงห์บุรี!M249"")"),0)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IFERROR(__xludf.DUMMYFUNCTION("IMPORTRANGE(""https://docs.google.com/spreadsheets/d/1SX6NBoVAgQJ6U1MVXOaj8PK2l7WJ3RER9xtqwdhxkhw/edit?usp=sharing"",""สิงห์บุรี!J255"")"),0)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IFERROR(__xludf.DUMMYFUNCTION("IMPORTRANGE(""https://docs.google.com/spreadsheets/d/1SX6NBoVAgQJ6U1MVXOaj8PK2l7WJ3RER9xtqwdhxkhw/edit?usp=sharing"",""สิงห์บุรี!J256"")"),0)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IFERROR(__xludf.DUMMYFUNCTION("IMPORTRANGE(""https://docs.google.com/spreadsheets/d/1SX6NBoVAgQJ6U1MVXOaj8PK2l7WJ3RER9xtqwdhxkhw/edit?usp=sharing"",""สิงห์บุรี!J257"")"),0)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IFERROR(__xludf.DUMMYFUNCTION("IMPORTRANGE(""https://docs.google.com/spreadsheets/d/1SX6NBoVAgQJ6U1MVXOaj8PK2l7WJ3RER9xtqwdhxkhw/edit?usp=sharing"",""สิงห์บุรี!J258"")"),0)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IFERROR(__xludf.DUMMYFUNCTION("IMPORTRANGE(""https://docs.google.com/spreadsheets/d/1SX6NBoVAgQJ6U1MVXOaj8PK2l7WJ3RER9xtqwdhxkhw/edit?usp=sharing"",""สิงห์บุรี!J166"")"),0)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IFERROR(__xludf.DUMMYFUNCTION("IMPORTRANGE(""https://docs.google.com/spreadsheets/d/1SX6NBoVAgQJ6U1MVXOaj8PK2l7WJ3RER9xtqwdhxkhw/edit?usp=sharing"",""สิงห์บุรี!J166"")"),0)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IFERROR(__xludf.DUMMYFUNCTION("IMPORTRANGE(""https://docs.google.com/spreadsheets/d/1SX6NBoVAgQJ6U1MVXOaj8PK2l7WJ3RER9xtqwdhxkhw/edit?usp=sharing"",""สิงห์บุรี!J166"")"),0)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IFERROR(__xludf.DUMMYFUNCTION("IMPORTRANGE(""https://docs.google.com/spreadsheets/d/1SX6NBoVAgQJ6U1MVXOaj8PK2l7WJ3RER9xtqwdhxkhw/edit?usp=sharing"",""สิงห์บุรี!J166"")"),0)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IFERROR(__xludf.DUMMYFUNCTION("IMPORTRANGE(""https://docs.google.com/spreadsheets/d/1SX6NBoVAgQJ6U1MVXOaj8PK2l7WJ3RER9xtqwdhxkhw/edit?usp=sharing"",""สิงห์บุรี!I263"")"),0)</f>
        <v>0</v>
      </c>
      <c r="J368" s="189">
        <f ca="1">IFERROR(__xludf.DUMMYFUNCTION("IMPORTRANGE(""https://docs.google.com/spreadsheets/d/1SX6NBoVAgQJ6U1MVXOaj8PK2l7WJ3RER9xtqwdhxkhw/edit?usp=sharing"",""สิงห์บุรี!J263"")"),0)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IFERROR(__xludf.DUMMYFUNCTION("IMPORTRANGE(""https://docs.google.com/spreadsheets/d/1SX6NBoVAgQJ6U1MVXOaj8PK2l7WJ3RER9xtqwdhxkhw/edit?usp=sharing"",""สิงห์บุรี!I164"")"),0)</f>
        <v>0</v>
      </c>
      <c r="J369" s="205">
        <f ca="1">IFERROR(__xludf.DUMMYFUNCTION("IMPORTRANGE(""https://docs.google.com/spreadsheets/d/1SX6NBoVAgQJ6U1MVXOaj8PK2l7WJ3RER9xtqwdhxkhw/edit?usp=sharing"",""สิงห์บุรี!J164"")"),0)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IFERROR(__xludf.DUMMYFUNCTION("IMPORTRANGE(""https://docs.google.com/spreadsheets/d/1SX6NBoVAgQJ6U1MVXOaj8PK2l7WJ3RER9xtqwdhxkhw/edit?usp=sharing"",""สิงห์บุรี!I265"")"),0)</f>
        <v>0</v>
      </c>
      <c r="J370" s="205">
        <f ca="1">IFERROR(__xludf.DUMMYFUNCTION("IMPORTRANGE(""https://docs.google.com/spreadsheets/d/1SX6NBoVAgQJ6U1MVXOaj8PK2l7WJ3RER9xtqwdhxkhw/edit?usp=sharing"",""สิงห์บุรี!J265"")"),0)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IFERROR(__xludf.DUMMYFUNCTION("IMPORTRANGE(""https://docs.google.com/spreadsheets/d/1SX6NBoVAgQJ6U1MVXOaj8PK2l7WJ3RER9xtqwdhxkhw/edit?usp=sharing"",""สิงห์บุรี!I164"")"),0)</f>
        <v>0</v>
      </c>
      <c r="J371" s="190">
        <f ca="1">IFERROR(__xludf.DUMMYFUNCTION("IMPORTRANGE(""https://docs.google.com/spreadsheets/d/1SX6NBoVAgQJ6U1MVXOaj8PK2l7WJ3RER9xtqwdhxkhw/edit?usp=sharing"",""สิงห์บุรี!J164"")"),0)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IFERROR(__xludf.DUMMYFUNCTION("IMPORTRANGE(""https://docs.google.com/spreadsheets/d/1SX6NBoVAgQJ6U1MVXOaj8PK2l7WJ3RER9xtqwdhxkhw/edit?usp=sharing"",""สิงห์บุรี!I267"")"),0)</f>
        <v>0</v>
      </c>
      <c r="J372" s="190">
        <f ca="1">IFERROR(__xludf.DUMMYFUNCTION("IMPORTRANGE(""https://docs.google.com/spreadsheets/d/1SX6NBoVAgQJ6U1MVXOaj8PK2l7WJ3RER9xtqwdhxkhw/edit?usp=sharing"",""สิงห์บุรี!J267"")"),0)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IFERROR(__xludf.DUMMYFUNCTION("IMPORTRANGE(""https://docs.google.com/spreadsheets/d/1SX6NBoVAgQJ6U1MVXOaj8PK2l7WJ3RER9xtqwdhxkhw/edit?usp=sharing"",""สิงห์บุรี!I164"")"),0)</f>
        <v>0</v>
      </c>
      <c r="J373" s="205">
        <f ca="1">IFERROR(__xludf.DUMMYFUNCTION("IMPORTRANGE(""https://docs.google.com/spreadsheets/d/1SX6NBoVAgQJ6U1MVXOaj8PK2l7WJ3RER9xtqwdhxkhw/edit?usp=sharing"",""สิงห์บุรี!J164"")"),0)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IFERROR(__xludf.DUMMYFUNCTION("IMPORTRANGE(""https://docs.google.com/spreadsheets/d/1SX6NBoVAgQJ6U1MVXOaj8PK2l7WJ3RER9xtqwdhxkhw/edit?usp=sharing"",""สิงห์บุรี!I164"")"),0)</f>
        <v>0</v>
      </c>
      <c r="J374" s="189">
        <f ca="1">IFERROR(__xludf.DUMMYFUNCTION("IMPORTRANGE(""https://docs.google.com/spreadsheets/d/1SX6NBoVAgQJ6U1MVXOaj8PK2l7WJ3RER9xtqwdhxkhw/edit?usp=sharing"",""สิงห์บุรี!J164"")"),0)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IFERROR(__xludf.DUMMYFUNCTION("IMPORTRANGE(""https://docs.google.com/spreadsheets/d/1SX6NBoVAgQJ6U1MVXOaj8PK2l7WJ3RER9xtqwdhxkhw/edit?usp=sharing"",""สิงห์บุรี!I270"")"),0)</f>
        <v>0</v>
      </c>
      <c r="J375" s="189">
        <f ca="1">IFERROR(__xludf.DUMMYFUNCTION("IMPORTRANGE(""https://docs.google.com/spreadsheets/d/1SX6NBoVAgQJ6U1MVXOaj8PK2l7WJ3RER9xtqwdhxkhw/edit?usp=sharing"",""สิงห์บุรี!J270"")"),0)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IFERROR(__xludf.DUMMYFUNCTION("IMPORTRANGE(""https://docs.google.com/spreadsheets/d/1SX6NBoVAgQJ6U1MVXOaj8PK2l7WJ3RER9xtqwdhxkhw/edit?usp=sharing"",""สิงห์บุรี!I271"")"),0)</f>
        <v>0</v>
      </c>
      <c r="J376" s="190">
        <f ca="1">IFERROR(__xludf.DUMMYFUNCTION("IMPORTRANGE(""https://docs.google.com/spreadsheets/d/1SX6NBoVAgQJ6U1MVXOaj8PK2l7WJ3RER9xtqwdhxkhw/edit?usp=sharing"",""สิงห์บุรี!J271"")"),0)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IFERROR(__xludf.DUMMYFUNCTION("IMPORTRANGE(""https://docs.google.com/spreadsheets/d/1SX6NBoVAgQJ6U1MVXOaj8PK2l7WJ3RER9xtqwdhxkhw/edit?usp=sharing"",""สิงห์บุรี!I272"")"),0)</f>
        <v>0</v>
      </c>
      <c r="J377" s="205">
        <f ca="1">IFERROR(__xludf.DUMMYFUNCTION("IMPORTRANGE(""https://docs.google.com/spreadsheets/d/1SX6NBoVAgQJ6U1MVXOaj8PK2l7WJ3RER9xtqwdhxkhw/edit?usp=sharing"",""สิงห์บุรี!J272"")"),0)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IFERROR(__xludf.DUMMYFUNCTION("IMPORTRANGE(""https://docs.google.com/spreadsheets/d/1SX6NBoVAgQJ6U1MVXOaj8PK2l7WJ3RER9xtqwdhxkhw/edit?usp=sharing"",""สิงห์บุรี!J273"")"),0)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IFERROR(__xludf.DUMMYFUNCTION("IMPORTRANGE(""https://docs.google.com/spreadsheets/d/1SX6NBoVAgQJ6U1MVXOaj8PK2l7WJ3RER9xtqwdhxkhw/edit?usp=sharing"",""สิงห์บุรี!L277"")"),0)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IFERROR(__xludf.DUMMYFUNCTION("IMPORTRANGE(""https://docs.google.com/spreadsheets/d/1SX6NBoVAgQJ6U1MVXOaj8PK2l7WJ3RER9xtqwdhxkhw/edit?usp=sharing"",""สิงห์บุรี!M277"")"),0)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IFERROR(__xludf.DUMMYFUNCTION("IMPORTRANGE(""https://docs.google.com/spreadsheets/d/1SX6NBoVAgQJ6U1MVXOaj8PK2l7WJ3RER9xtqwdhxkhw/edit?usp=sharing"",""สิงห์บุรี!L278"")"),0)</f>
        <v>0</v>
      </c>
      <c r="M383" s="167"/>
      <c r="N383" s="167">
        <f ca="1">IFERROR(__xludf.DUMMYFUNCTION("IMPORTRANGE(""https://docs.google.com/spreadsheets/d/1SX6NBoVAgQJ6U1MVXOaj8PK2l7WJ3RER9xtqwdhxkhw/edit?usp=sharing"",""สิงห์บุรี!M278"")"),0)</f>
        <v>0</v>
      </c>
      <c r="O383" s="167">
        <f t="shared" ca="1" si="109"/>
        <v>0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IFERROR(__xludf.DUMMYFUNCTION("IMPORTRANGE(""https://docs.google.com/spreadsheets/d/1SX6NBoVAgQJ6U1MVXOaj8PK2l7WJ3RER9xtqwdhxkhw/edit?usp=sharing"",""สิงห์บุรี!L279"")"),0)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IFERROR(__xludf.DUMMYFUNCTION("IMPORTRANGE(""https://docs.google.com/spreadsheets/d/1SX6NBoVAgQJ6U1MVXOaj8PK2l7WJ3RER9xtqwdhxkhw/edit?usp=sharing"",""สิงห์บุรี!M279"")"),0)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IFERROR(__xludf.DUMMYFUNCTION("IMPORTRANGE(""https://docs.google.com/spreadsheets/d/1SX6NBoVAgQJ6U1MVXOaj8PK2l7WJ3RER9xtqwdhxkhw/edit?usp=sharing"",""สิงห์บุรี!L280"")"),0)</f>
        <v>0</v>
      </c>
      <c r="M385" s="170"/>
      <c r="N385" s="169">
        <f ca="1">IFERROR(__xludf.DUMMYFUNCTION("IMPORTRANGE(""https://docs.google.com/spreadsheets/d/1SX6NBoVAgQJ6U1MVXOaj8PK2l7WJ3RER9xtqwdhxkhw/edit?usp=sharing"",""สิงห์บุรี!M280"")"),0)</f>
        <v>0</v>
      </c>
      <c r="O385" s="170">
        <f t="shared" ca="1" si="109"/>
        <v>0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IFERROR(__xludf.DUMMYFUNCTION("IMPORTRANGE(""https://docs.google.com/spreadsheets/d/1SX6NBoVAgQJ6U1MVXOaj8PK2l7WJ3RER9xtqwdhxkhw/edit?usp=sharing"",""สิงห์บุรี!J286"")"),0)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IFERROR(__xludf.DUMMYFUNCTION("IMPORTRANGE(""https://docs.google.com/spreadsheets/d/1SX6NBoVAgQJ6U1MVXOaj8PK2l7WJ3RER9xtqwdhxkhw/edit?usp=sharing"",""สิงห์บุรี!J287"")"),0)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IFERROR(__xludf.DUMMYFUNCTION("IMPORTRANGE(""https://docs.google.com/spreadsheets/d/1SX6NBoVAgQJ6U1MVXOaj8PK2l7WJ3RER9xtqwdhxkhw/edit?usp=sharing"",""สิงห์บุรี!J288"")"),0)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IFERROR(__xludf.DUMMYFUNCTION("IMPORTRANGE(""https://docs.google.com/spreadsheets/d/1SX6NBoVAgQJ6U1MVXOaj8PK2l7WJ3RER9xtqwdhxkhw/edit?usp=sharing"",""สิงห์บุรี!J289"")"),0)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IFERROR(__xludf.DUMMYFUNCTION("IMPORTRANGE(""https://docs.google.com/spreadsheets/d/1SX6NBoVAgQJ6U1MVXOaj8PK2l7WJ3RER9xtqwdhxkhw/edit?usp=sharing"",""สิงห์บุรี!I291"")"),0)</f>
        <v>0</v>
      </c>
      <c r="J396" s="199">
        <f ca="1">IFERROR(__xludf.DUMMYFUNCTION("IMPORTRANGE(""https://docs.google.com/spreadsheets/d/1SX6NBoVAgQJ6U1MVXOaj8PK2l7WJ3RER9xtqwdhxkhw/edit?usp=sharing"",""สิงห์บุรี!J291"")"),0)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IFERROR(__xludf.DUMMYFUNCTION("IMPORTRANGE(""https://docs.google.com/spreadsheets/d/1SX6NBoVAgQJ6U1MVXOaj8PK2l7WJ3RER9xtqwdhxkhw/edit?usp=sharing"",""สิงห์บุรี!I292"")"),0)</f>
        <v>0</v>
      </c>
      <c r="J397" s="199">
        <f ca="1">IFERROR(__xludf.DUMMYFUNCTION("IMPORTRANGE(""https://docs.google.com/spreadsheets/d/1SX6NBoVAgQJ6U1MVXOaj8PK2l7WJ3RER9xtqwdhxkhw/edit?usp=sharing"",""สิงห์บุรี!J292"")"),0)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IFERROR(__xludf.DUMMYFUNCTION("IMPORTRANGE(""https://docs.google.com/spreadsheets/d/1SX6NBoVAgQJ6U1MVXOaj8PK2l7WJ3RER9xtqwdhxkhw/edit?usp=sharing"",""สิงห์บุรี!I293"")"),0)</f>
        <v>0</v>
      </c>
      <c r="J398" s="199">
        <f ca="1">IFERROR(__xludf.DUMMYFUNCTION("IMPORTRANGE(""https://docs.google.com/spreadsheets/d/1SX6NBoVAgQJ6U1MVXOaj8PK2l7WJ3RER9xtqwdhxkhw/edit?usp=sharing"",""สิงห์บุรี!J293"")"),0)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IFERROR(__xludf.DUMMYFUNCTION("IMPORTRANGE(""https://docs.google.com/spreadsheets/d/1SX6NBoVAgQJ6U1MVXOaj8PK2l7WJ3RER9xtqwdhxkhw/edit?usp=sharing"",""สิงห์บุรี!J294"")"),0)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IFERROR(__xludf.DUMMYFUNCTION("IMPORTRANGE(""https://docs.google.com/spreadsheets/d/1SX6NBoVAgQJ6U1MVXOaj8PK2l7WJ3RER9xtqwdhxkhw/edit?usp=sharing"",""สิงห์บุรี!M296"")"),28695)</f>
        <v>28695</v>
      </c>
      <c r="O401" s="373">
        <f ca="1">+IF(L401&gt;0,N401*100/L401,0)</f>
        <v>28.999494694290046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IFERROR(__xludf.DUMMYFUNCTION("IMPORTRANGE(""https://docs.google.com/spreadsheets/d/1SX6NBoVAgQJ6U1MVXOaj8PK2l7WJ3RER9xtqwdhxkhw/edit?usp=sharing"",""สิงห์บุรี!J297"")"),10)</f>
        <v>10</v>
      </c>
      <c r="K402" s="372">
        <f t="shared" ca="1" si="111"/>
        <v>34.482758620689658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IFERROR(__xludf.DUMMYFUNCTION("IMPORTRANGE(""https://docs.google.com/spreadsheets/d/1SX6NBoVAgQJ6U1MVXOaj8PK2l7WJ3RER9xtqwdhxkhw/edit?usp=sharing"",""สิงห์บุรี!L298"")"),0)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IFERROR(__xludf.DUMMYFUNCTION("IMPORTRANGE(""https://docs.google.com/spreadsheets/d/1SX6NBoVAgQJ6U1MVXOaj8PK2l7WJ3RER9xtqwdhxkhw/edit?usp=sharing"",""สิงห์บุรี!M298"")"),0)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IFERROR(__xludf.DUMMYFUNCTION("IMPORTRANGE(""https://docs.google.com/spreadsheets/d/1SX6NBoVAgQJ6U1MVXOaj8PK2l7WJ3RER9xtqwdhxkhw/edit?usp=sharing"",""สิงห์บุรี!L299"")"),98950)</f>
        <v>98950</v>
      </c>
      <c r="M404" s="167"/>
      <c r="N404" s="170">
        <f ca="1">IFERROR(__xludf.DUMMYFUNCTION("IMPORTRANGE(""https://docs.google.com/spreadsheets/d/1SX6NBoVAgQJ6U1MVXOaj8PK2l7WJ3RER9xtqwdhxkhw/edit?usp=sharing"",""สิงห์บุรี!M299"")"),28695)</f>
        <v>28695</v>
      </c>
      <c r="O404" s="170">
        <f t="shared" ca="1" si="112"/>
        <v>28.999494694290046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IFERROR(__xludf.DUMMYFUNCTION("IMPORTRANGE(""https://docs.google.com/spreadsheets/d/1SX6NBoVAgQJ6U1MVXOaj8PK2l7WJ3RER9xtqwdhxkhw/edit?usp=sharing"",""สิงห์บุรี!L300"")"),0)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IFERROR(__xludf.DUMMYFUNCTION("IMPORTRANGE(""https://docs.google.com/spreadsheets/d/1SX6NBoVAgQJ6U1MVXOaj8PK2l7WJ3RER9xtqwdhxkhw/edit?usp=sharing"",""สิงห์บุรี!M300"")"),0)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IFERROR(__xludf.DUMMYFUNCTION("IMPORTRANGE(""https://docs.google.com/spreadsheets/d/1SX6NBoVAgQJ6U1MVXOaj8PK2l7WJ3RER9xtqwdhxkhw/edit?usp=sharing"",""สิงห์บุรี!L301"")"),98950)</f>
        <v>98950</v>
      </c>
      <c r="M406" s="170"/>
      <c r="N406" s="170">
        <f ca="1">IFERROR(__xludf.DUMMYFUNCTION("IMPORTRANGE(""https://docs.google.com/spreadsheets/d/1SX6NBoVAgQJ6U1MVXOaj8PK2l7WJ3RER9xtqwdhxkhw/edit?usp=sharing"",""สิงห์บุรี!M301"")"),28695)</f>
        <v>28695</v>
      </c>
      <c r="O406" s="170">
        <f t="shared" ca="1" si="112"/>
        <v>28.999494694290046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IFERROR(__xludf.DUMMYFUNCTION("IMPORTRANGE(""https://docs.google.com/spreadsheets/d/1SX6NBoVAgQJ6U1MVXOaj8PK2l7WJ3RER9xtqwdhxkhw/edit?usp=sharing"",""สิงห์บุรี!M302"")"),28695)</f>
        <v>28695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IFERROR(__xludf.DUMMYFUNCTION("IMPORTRANGE(""https://docs.google.com/spreadsheets/d/1SX6NBoVAgQJ6U1MVXOaj8PK2l7WJ3RER9xtqwdhxkhw/edit?usp=sharing"",""สิงห์บุรี!M303"")"),0)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IFERROR(__xludf.DUMMYFUNCTION("IMPORTRANGE(""https://docs.google.com/spreadsheets/d/1SX6NBoVAgQJ6U1MVXOaj8PK2l7WJ3RER9xtqwdhxkhw/edit?usp=sharing"",""สิงห์บุรี!M305"")"),0)</f>
        <v>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IFERROR(__xludf.DUMMYFUNCTION("IMPORTRANGE(""https://docs.google.com/spreadsheets/d/1SX6NBoVAgQJ6U1MVXOaj8PK2l7WJ3RER9xtqwdhxkhw/edit?usp=sharing"",""สิงห์บุรี!J307"")"),0)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IFERROR(__xludf.DUMMYFUNCTION("IMPORTRANGE(""https://docs.google.com/spreadsheets/d/1SX6NBoVAgQJ6U1MVXOaj8PK2l7WJ3RER9xtqwdhxkhw/edit?usp=sharing"",""สิงห์บุรี!J308"")"),1)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IFERROR(__xludf.DUMMYFUNCTION("IMPORTRANGE(""https://docs.google.com/spreadsheets/d/1SX6NBoVAgQJ6U1MVXOaj8PK2l7WJ3RER9xtqwdhxkhw/edit?usp=sharing"",""สิงห์บุรี!J309"")"),1)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IFERROR(__xludf.DUMMYFUNCTION("IMPORTRANGE(""https://docs.google.com/spreadsheets/d/1SX6NBoVAgQJ6U1MVXOaj8PK2l7WJ3RER9xtqwdhxkhw/edit?usp=sharing"",""สิงห์บุรี!J310"")"),1)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IFERROR(__xludf.DUMMYFUNCTION("IMPORTRANGE(""https://docs.google.com/spreadsheets/d/1SX6NBoVAgQJ6U1MVXOaj8PK2l7WJ3RER9xtqwdhxkhw/edit?usp=sharing"",""สิงห์บุรี!I311"")"),29)</f>
        <v>29</v>
      </c>
      <c r="J416" s="202">
        <f ca="1">IFERROR(__xludf.DUMMYFUNCTION("IMPORTRANGE(""https://docs.google.com/spreadsheets/d/1SX6NBoVAgQJ6U1MVXOaj8PK2l7WJ3RER9xtqwdhxkhw/edit?usp=sharing"",""สิงห์บุรี!J311"")"),10)</f>
        <v>10</v>
      </c>
      <c r="K416" s="203">
        <f t="shared" ref="K416:K432" ca="1" si="113">IF(I416&gt;0,J416*100/I416,0)</f>
        <v>34.482758620689658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IFERROR(__xludf.DUMMYFUNCTION("IMPORTRANGE(""https://docs.google.com/spreadsheets/d/1SX6NBoVAgQJ6U1MVXOaj8PK2l7WJ3RER9xtqwdhxkhw/edit?usp=sharing"",""สิงห์บุรี!J328"")"),0)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IFERROR(__xludf.DUMMYFUNCTION("IMPORTRANGE(""https://docs.google.com/spreadsheets/d/1SX6NBoVAgQJ6U1MVXOaj8PK2l7WJ3RER9xtqwdhxkhw/edit?usp=sharing"",""สิงห์บุรี!J329"")"),0)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IFERROR(__xludf.DUMMYFUNCTION("IMPORTRANGE(""https://docs.google.com/spreadsheets/d/1SX6NBoVAgQJ6U1MVXOaj8PK2l7WJ3RER9xtqwdhxkhw/edit?usp=sharing"",""สิงห์บุรี!M330"")"),12021)</f>
        <v>12021</v>
      </c>
      <c r="O435" s="412">
        <f t="shared" ref="O435:O439" ca="1" si="114">+IF(L435&gt;0,N435*100/L435,0)</f>
        <v>15.817105263157895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IFERROR(__xludf.DUMMYFUNCTION("IMPORTRANGE(""https://docs.google.com/spreadsheets/d/1SX6NBoVAgQJ6U1MVXOaj8PK2l7WJ3RER9xtqwdhxkhw/edit?usp=sharing"",""สิงห์บุรี!L331"")"),0)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IFERROR(__xludf.DUMMYFUNCTION("IMPORTRANGE(""https://docs.google.com/spreadsheets/d/1SX6NBoVAgQJ6U1MVXOaj8PK2l7WJ3RER9xtqwdhxkhw/edit?usp=sharing"",""สิงห์บุรี!M331"")"),0)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IFERROR(__xludf.DUMMYFUNCTION("IMPORTRANGE(""https://docs.google.com/spreadsheets/d/1SX6NBoVAgQJ6U1MVXOaj8PK2l7WJ3RER9xtqwdhxkhw/edit?usp=sharing"",""สิงห์บุรี!L332"")"),76000)</f>
        <v>76000</v>
      </c>
      <c r="M437" s="167"/>
      <c r="N437" s="170">
        <f ca="1">IFERROR(__xludf.DUMMYFUNCTION("IMPORTRANGE(""https://docs.google.com/spreadsheets/d/1SX6NBoVAgQJ6U1MVXOaj8PK2l7WJ3RER9xtqwdhxkhw/edit?usp=sharing"",""สิงห์บุรี!M332"")"),12021)</f>
        <v>12021</v>
      </c>
      <c r="O437" s="170">
        <f t="shared" ca="1" si="114"/>
        <v>15.817105263157895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IFERROR(__xludf.DUMMYFUNCTION("IMPORTRANGE(""https://docs.google.com/spreadsheets/d/1SX6NBoVAgQJ6U1MVXOaj8PK2l7WJ3RER9xtqwdhxkhw/edit?usp=sharing"",""สิงห์บุรี!L333"")"),0)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IFERROR(__xludf.DUMMYFUNCTION("IMPORTRANGE(""https://docs.google.com/spreadsheets/d/1SX6NBoVAgQJ6U1MVXOaj8PK2l7WJ3RER9xtqwdhxkhw/edit?usp=sharing"",""สิงห์บุรี!M333"")"),0)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IFERROR(__xludf.DUMMYFUNCTION("IMPORTRANGE(""https://docs.google.com/spreadsheets/d/1SX6NBoVAgQJ6U1MVXOaj8PK2l7WJ3RER9xtqwdhxkhw/edit?usp=sharing"",""สิงห์บุรี!L334"")"),76000)</f>
        <v>76000</v>
      </c>
      <c r="M439" s="170"/>
      <c r="N439" s="170">
        <f ca="1">IFERROR(__xludf.DUMMYFUNCTION("IMPORTRANGE(""https://docs.google.com/spreadsheets/d/1SX6NBoVAgQJ6U1MVXOaj8PK2l7WJ3RER9xtqwdhxkhw/edit?usp=sharing"",""สิงห์บุรี!M334"")"),12021)</f>
        <v>12021</v>
      </c>
      <c r="O439" s="170">
        <f t="shared" ca="1" si="114"/>
        <v>15.817105263157895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IFERROR(__xludf.DUMMYFUNCTION("IMPORTRANGE(""https://docs.google.com/spreadsheets/d/1SX6NBoVAgQJ6U1MVXOaj8PK2l7WJ3RER9xtqwdhxkhw/edit?usp=sharing"",""สิงห์บุรี!M335"")"),12021)</f>
        <v>12021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IFERROR(__xludf.DUMMYFUNCTION("IMPORTRANGE(""https://docs.google.com/spreadsheets/d/1SX6NBoVAgQJ6U1MVXOaj8PK2l7WJ3RER9xtqwdhxkhw/edit?usp=sharing"",""สิงห์บุรี!M338"")"),0)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IFERROR(__xludf.DUMMYFUNCTION("IMPORTRANGE(""https://docs.google.com/spreadsheets/d/1SX6NBoVAgQJ6U1MVXOaj8PK2l7WJ3RER9xtqwdhxkhw/edit?usp=sharing"",""สิงห์บุรี!J341"")"),0)</f>
        <v>0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IFERROR(__xludf.DUMMYFUNCTION("IMPORTRANGE(""https://docs.google.com/spreadsheets/d/1SX6NBoVAgQJ6U1MVXOaj8PK2l7WJ3RER9xtqwdhxkhw/edit?usp=sharing"",""สิงห์บุรี!J342"")"),0)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IFERROR(__xludf.DUMMYFUNCTION("IMPORTRANGE(""https://docs.google.com/spreadsheets/d/1SX6NBoVAgQJ6U1MVXOaj8PK2l7WJ3RER9xtqwdhxkhw/edit?usp=sharing"",""สิงห์บุรี!J343"")"),0)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2">
        <f ca="1">IFERROR(__xludf.DUMMYFUNCTION("IMPORTRANGE(""https://docs.google.com/spreadsheets/d/1SX6NBoVAgQJ6U1MVXOaj8PK2l7WJ3RER9xtqwdhxkhw/edit?usp=sharing"",""สิงห์บุรี!J344"")"),10)</f>
        <v>10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IFERROR(__xludf.DUMMYFUNCTION("IMPORTRANGE(""https://docs.google.com/spreadsheets/d/1SX6NBoVAgQJ6U1MVXOaj8PK2l7WJ3RER9xtqwdhxkhw/edit?usp=sharing"",""สิงห์บุรี!I345"")"),10)</f>
        <v>10</v>
      </c>
      <c r="J450" s="190">
        <f ca="1">IFERROR(__xludf.DUMMYFUNCTION("IMPORTRANGE(""https://docs.google.com/spreadsheets/d/1SX6NBoVAgQJ6U1MVXOaj8PK2l7WJ3RER9xtqwdhxkhw/edit?usp=sharing"",""สิงห์บุรี!J345"")"),10)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IFERROR(__xludf.DUMMYFUNCTION("IMPORTRANGE(""https://docs.google.com/spreadsheets/d/1SX6NBoVAgQJ6U1MVXOaj8PK2l7WJ3RER9xtqwdhxkhw/edit?usp=sharing"",""สิงห์บุรี!I346"")"),0)</f>
        <v>0</v>
      </c>
      <c r="J451" s="189">
        <f ca="1">IFERROR(__xludf.DUMMYFUNCTION("IMPORTRANGE(""https://docs.google.com/spreadsheets/d/1SX6NBoVAgQJ6U1MVXOaj8PK2l7WJ3RER9xtqwdhxkhw/edit?usp=sharing"",""สิงห์บุรี!J346"")"),0)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IFERROR(__xludf.DUMMYFUNCTION("IMPORTRANGE(""https://docs.google.com/spreadsheets/d/1SX6NBoVAgQJ6U1MVXOaj8PK2l7WJ3RER9xtqwdhxkhw/edit?usp=sharing"",""สิงห์บุรี!I347"")"),0)</f>
        <v>0</v>
      </c>
      <c r="J452" s="189">
        <f ca="1">IFERROR(__xludf.DUMMYFUNCTION("IMPORTRANGE(""https://docs.google.com/spreadsheets/d/1SX6NBoVAgQJ6U1MVXOaj8PK2l7WJ3RER9xtqwdhxkhw/edit?usp=sharing"",""สิงห์บุรี!J347"")"),0)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IFERROR(__xludf.DUMMYFUNCTION("IMPORTRANGE(""https://docs.google.com/spreadsheets/d/1SX6NBoVAgQJ6U1MVXOaj8PK2l7WJ3RER9xtqwdhxkhw/edit?usp=sharing"",""สิงห์บุรี!J348"")"),0)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IFERROR(__xludf.DUMMYFUNCTION("IMPORTRANGE(""https://docs.google.com/spreadsheets/d/1SX6NBoVAgQJ6U1MVXOaj8PK2l7WJ3RER9xtqwdhxkhw/edit?usp=sharing"",""สิงห์บุรี!J349"")"),1)</f>
        <v>1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IFERROR(__xludf.DUMMYFUNCTION("IMPORTRANGE(""https://docs.google.com/spreadsheets/d/1SX6NBoVAgQJ6U1MVXOaj8PK2l7WJ3RER9xtqwdhxkhw/edit?usp=sharing"",""สิงห์บุรี!L351"")"),0)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IFERROR(__xludf.DUMMYFUNCTION("IMPORTRANGE(""https://docs.google.com/spreadsheets/d/1SX6NBoVAgQJ6U1MVXOaj8PK2l7WJ3RER9xtqwdhxkhw/edit?usp=sharing"",""สิงห์บุรี!M351"")"),0)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IFERROR(__xludf.DUMMYFUNCTION("IMPORTRANGE(""https://docs.google.com/spreadsheets/d/1SX6NBoVAgQJ6U1MVXOaj8PK2l7WJ3RER9xtqwdhxkhw/edit?usp=sharing"",""สิงห์บุรี!L352"")"),0)</f>
        <v>0</v>
      </c>
      <c r="M457" s="167"/>
      <c r="N457" s="170">
        <f ca="1">IFERROR(__xludf.DUMMYFUNCTION("IMPORTRANGE(""https://docs.google.com/spreadsheets/d/1SX6NBoVAgQJ6U1MVXOaj8PK2l7WJ3RER9xtqwdhxkhw/edit?usp=sharing"",""สิงห์บุรี!M352"")"),0)</f>
        <v>0</v>
      </c>
      <c r="O457" s="170">
        <f t="shared" ca="1" si="116"/>
        <v>0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IFERROR(__xludf.DUMMYFUNCTION("IMPORTRANGE(""https://docs.google.com/spreadsheets/d/1SX6NBoVAgQJ6U1MVXOaj8PK2l7WJ3RER9xtqwdhxkhw/edit?usp=sharing"",""สิงห์บุรี!L353"")"),0)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IFERROR(__xludf.DUMMYFUNCTION("IMPORTRANGE(""https://docs.google.com/spreadsheets/d/1SX6NBoVAgQJ6U1MVXOaj8PK2l7WJ3RER9xtqwdhxkhw/edit?usp=sharing"",""สิงห์บุรี!M353"")"),0)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IFERROR(__xludf.DUMMYFUNCTION("IMPORTRANGE(""https://docs.google.com/spreadsheets/d/1SX6NBoVAgQJ6U1MVXOaj8PK2l7WJ3RER9xtqwdhxkhw/edit?usp=sharing"",""สิงห์บุรี!L354"")"),0)</f>
        <v>0</v>
      </c>
      <c r="M459" s="170"/>
      <c r="N459" s="170">
        <f ca="1">IFERROR(__xludf.DUMMYFUNCTION("IMPORTRANGE(""https://docs.google.com/spreadsheets/d/1SX6NBoVAgQJ6U1MVXOaj8PK2l7WJ3RER9xtqwdhxkhw/edit?usp=sharing"",""สิงห์บุรี!M354"")"),0)</f>
        <v>0</v>
      </c>
      <c r="O459" s="170">
        <f t="shared" ca="1" si="116"/>
        <v>0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IFERROR(__xludf.DUMMYFUNCTION("IMPORTRANGE(""https://docs.google.com/spreadsheets/d/1SX6NBoVAgQJ6U1MVXOaj8PK2l7WJ3RER9xtqwdhxkhw/edit?usp=sharing"",""สิงห์บุรี!M355"")"),0)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IFERROR(__xludf.DUMMYFUNCTION("IMPORTRANGE(""https://docs.google.com/spreadsheets/d/1SX6NBoVAgQJ6U1MVXOaj8PK2l7WJ3RER9xtqwdhxkhw/edit?usp=sharing"",""สิงห์บุรี!M356"")"),0)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IFERROR(__xludf.DUMMYFUNCTION("IMPORTRANGE(""https://docs.google.com/spreadsheets/d/1SX6NBoVAgQJ6U1MVXOaj8PK2l7WJ3RER9xtqwdhxkhw/edit?usp=sharing"",""สิงห์บุรี!I362"")"),0)</f>
        <v>0</v>
      </c>
      <c r="J467" s="190">
        <f ca="1">IFERROR(__xludf.DUMMYFUNCTION("IMPORTRANGE(""https://docs.google.com/spreadsheets/d/1SX6NBoVAgQJ6U1MVXOaj8PK2l7WJ3RER9xtqwdhxkhw/edit?usp=sharing"",""สิงห์บุรี!J362"")"),0)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IFERROR(__xludf.DUMMYFUNCTION("IMPORTRANGE(""https://docs.google.com/spreadsheets/d/1SX6NBoVAgQJ6U1MVXOaj8PK2l7WJ3RER9xtqwdhxkhw/edit?usp=sharing"",""สิงห์บุรี!I363"")"),0)</f>
        <v>0</v>
      </c>
      <c r="J468" s="190">
        <f ca="1">IFERROR(__xludf.DUMMYFUNCTION("IMPORTRANGE(""https://docs.google.com/spreadsheets/d/1SX6NBoVAgQJ6U1MVXOaj8PK2l7WJ3RER9xtqwdhxkhw/edit?usp=sharing"",""สิงห์บุรี!J363"")"),0)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IFERROR(__xludf.DUMMYFUNCTION("IMPORTRANGE(""https://docs.google.com/spreadsheets/d/1SX6NBoVAgQJ6U1MVXOaj8PK2l7WJ3RER9xtqwdhxkhw/edit?usp=sharing"",""สิงห์บุรี!I364"")"),0)</f>
        <v>0</v>
      </c>
      <c r="J469" s="190">
        <f ca="1">IFERROR(__xludf.DUMMYFUNCTION("IMPORTRANGE(""https://docs.google.com/spreadsheets/d/1SX6NBoVAgQJ6U1MVXOaj8PK2l7WJ3RER9xtqwdhxkhw/edit?usp=sharing"",""สิงห์บุรี!J364"")"),0)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IFERROR(__xludf.DUMMYFUNCTION("IMPORTRANGE(""https://docs.google.com/spreadsheets/d/1SX6NBoVAgQJ6U1MVXOaj8PK2l7WJ3RER9xtqwdhxkhw/edit?usp=sharing"",""สิงห์บุรี!I365"")"),0)</f>
        <v>0</v>
      </c>
      <c r="J470" s="190">
        <f ca="1">IFERROR(__xludf.DUMMYFUNCTION("IMPORTRANGE(""https://docs.google.com/spreadsheets/d/1SX6NBoVAgQJ6U1MVXOaj8PK2l7WJ3RER9xtqwdhxkhw/edit?usp=sharing"",""สิงห์บุรี!J365"")"),0)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IFERROR(__xludf.DUMMYFUNCTION("IMPORTRANGE(""https://docs.google.com/spreadsheets/d/1SX6NBoVAgQJ6U1MVXOaj8PK2l7WJ3RER9xtqwdhxkhw/edit?usp=sharing"",""สิงห์บุรี!I366"")"),0)</f>
        <v>0</v>
      </c>
      <c r="J471" s="190">
        <f ca="1">IFERROR(__xludf.DUMMYFUNCTION("IMPORTRANGE(""https://docs.google.com/spreadsheets/d/1SX6NBoVAgQJ6U1MVXOaj8PK2l7WJ3RER9xtqwdhxkhw/edit?usp=sharing"",""สิงห์บุรี!J366"")"),0)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IFERROR(__xludf.DUMMYFUNCTION("IMPORTRANGE(""https://docs.google.com/spreadsheets/d/1SX6NBoVAgQJ6U1MVXOaj8PK2l7WJ3RER9xtqwdhxkhw/edit?usp=sharing"",""สิงห์บุรี!I367"")"),0)</f>
        <v>0</v>
      </c>
      <c r="J472" s="190">
        <f ca="1">IFERROR(__xludf.DUMMYFUNCTION("IMPORTRANGE(""https://docs.google.com/spreadsheets/d/1SX6NBoVAgQJ6U1MVXOaj8PK2l7WJ3RER9xtqwdhxkhw/edit?usp=sharing"",""สิงห์บุรี!J367"")"),0)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IFERROR(__xludf.DUMMYFUNCTION("IMPORTRANGE(""https://docs.google.com/spreadsheets/d/1SX6NBoVAgQJ6U1MVXOaj8PK2l7WJ3RER9xtqwdhxkhw/edit?usp=sharing"",""สิงห์บุรี!I370"")"),0)</f>
        <v>0</v>
      </c>
      <c r="J475" s="190">
        <f ca="1">IFERROR(__xludf.DUMMYFUNCTION("IMPORTRANGE(""https://docs.google.com/spreadsheets/d/1SX6NBoVAgQJ6U1MVXOaj8PK2l7WJ3RER9xtqwdhxkhw/edit?usp=sharing"",""สิงห์บุรี!J370"")"),0)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IFERROR(__xludf.DUMMYFUNCTION("IMPORTRANGE(""https://docs.google.com/spreadsheets/d/1SX6NBoVAgQJ6U1MVXOaj8PK2l7WJ3RER9xtqwdhxkhw/edit?usp=sharing"",""สิงห์บุรี!I371"")"),0)</f>
        <v>0</v>
      </c>
      <c r="J476" s="190">
        <f ca="1">IFERROR(__xludf.DUMMYFUNCTION("IMPORTRANGE(""https://docs.google.com/spreadsheets/d/1SX6NBoVAgQJ6U1MVXOaj8PK2l7WJ3RER9xtqwdhxkhw/edit?usp=sharing"",""สิงห์บุรี!J371"")"),0)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IFERROR(__xludf.DUMMYFUNCTION("IMPORTRANGE(""https://docs.google.com/spreadsheets/d/1SX6NBoVAgQJ6U1MVXOaj8PK2l7WJ3RER9xtqwdhxkhw/edit?usp=sharing"",""สิงห์บุรี!I372"")"),0)</f>
        <v>0</v>
      </c>
      <c r="J477" s="190">
        <f ca="1">IFERROR(__xludf.DUMMYFUNCTION("IMPORTRANGE(""https://docs.google.com/spreadsheets/d/1SX6NBoVAgQJ6U1MVXOaj8PK2l7WJ3RER9xtqwdhxkhw/edit?usp=sharing"",""สิงห์บุรี!J372"")"),0)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IFERROR(__xludf.DUMMYFUNCTION("IMPORTRANGE(""https://docs.google.com/spreadsheets/d/1SX6NBoVAgQJ6U1MVXOaj8PK2l7WJ3RER9xtqwdhxkhw/edit?usp=sharing"",""สิงห์บุรี!I373"")"),0)</f>
        <v>0</v>
      </c>
      <c r="J478" s="190">
        <f ca="1">IFERROR(__xludf.DUMMYFUNCTION("IMPORTRANGE(""https://docs.google.com/spreadsheets/d/1SX6NBoVAgQJ6U1MVXOaj8PK2l7WJ3RER9xtqwdhxkhw/edit?usp=sharing"",""สิงห์บุรี!J373"")"),0)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IFERROR(__xludf.DUMMYFUNCTION("IMPORTRANGE(""https://docs.google.com/spreadsheets/d/1SX6NBoVAgQJ6U1MVXOaj8PK2l7WJ3RER9xtqwdhxkhw/edit?usp=sharing"",""สิงห์บุรี!I374"")"),0)</f>
        <v>0</v>
      </c>
      <c r="J479" s="190">
        <f ca="1">IFERROR(__xludf.DUMMYFUNCTION("IMPORTRANGE(""https://docs.google.com/spreadsheets/d/1SX6NBoVAgQJ6U1MVXOaj8PK2l7WJ3RER9xtqwdhxkhw/edit?usp=sharing"",""สิงห์บุรี!J374"")"),0)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IFERROR(__xludf.DUMMYFUNCTION("IMPORTRANGE(""https://docs.google.com/spreadsheets/d/1SX6NBoVAgQJ6U1MVXOaj8PK2l7WJ3RER9xtqwdhxkhw/edit?usp=sharing"",""สิงห์บุรี!I375"")"),0)</f>
        <v>0</v>
      </c>
      <c r="J480" s="190">
        <f ca="1">IFERROR(__xludf.DUMMYFUNCTION("IMPORTRANGE(""https://docs.google.com/spreadsheets/d/1SX6NBoVAgQJ6U1MVXOaj8PK2l7WJ3RER9xtqwdhxkhw/edit?usp=sharing"",""สิงห์บุรี!J375"")"),0)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IFERROR(__xludf.DUMMYFUNCTION("IMPORTRANGE(""https://docs.google.com/spreadsheets/d/1SX6NBoVAgQJ6U1MVXOaj8PK2l7WJ3RER9xtqwdhxkhw/edit?usp=sharing"",""สิงห์บุรี!I378"")"),0)</f>
        <v>0</v>
      </c>
      <c r="J483" s="190">
        <f ca="1">IFERROR(__xludf.DUMMYFUNCTION("IMPORTRANGE(""https://docs.google.com/spreadsheets/d/1SX6NBoVAgQJ6U1MVXOaj8PK2l7WJ3RER9xtqwdhxkhw/edit?usp=sharing"",""สิงห์บุรี!J378"")"),0)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IFERROR(__xludf.DUMMYFUNCTION("IMPORTRANGE(""https://docs.google.com/spreadsheets/d/1SX6NBoVAgQJ6U1MVXOaj8PK2l7WJ3RER9xtqwdhxkhw/edit?usp=sharing"",""สิงห์บุรี!I379"")"),0)</f>
        <v>0</v>
      </c>
      <c r="J484" s="190">
        <f ca="1">IFERROR(__xludf.DUMMYFUNCTION("IMPORTRANGE(""https://docs.google.com/spreadsheets/d/1SX6NBoVAgQJ6U1MVXOaj8PK2l7WJ3RER9xtqwdhxkhw/edit?usp=sharing"",""สิงห์บุรี!J379"")"),0)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IFERROR(__xludf.DUMMYFUNCTION("IMPORTRANGE(""https://docs.google.com/spreadsheets/d/1SX6NBoVAgQJ6U1MVXOaj8PK2l7WJ3RER9xtqwdhxkhw/edit?usp=sharing"",""สิงห์บุรี!I380"")"),0)</f>
        <v>0</v>
      </c>
      <c r="J485" s="190">
        <f ca="1">IFERROR(__xludf.DUMMYFUNCTION("IMPORTRANGE(""https://docs.google.com/spreadsheets/d/1SX6NBoVAgQJ6U1MVXOaj8PK2l7WJ3RER9xtqwdhxkhw/edit?usp=sharing"",""สิงห์บุรี!J380"")"),0)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IFERROR(__xludf.DUMMYFUNCTION("IMPORTRANGE(""https://docs.google.com/spreadsheets/d/1SX6NBoVAgQJ6U1MVXOaj8PK2l7WJ3RER9xtqwdhxkhw/edit?usp=sharing"",""สิงห์บุรี!I381"")"),0)</f>
        <v>0</v>
      </c>
      <c r="J486" s="190">
        <f ca="1">IFERROR(__xludf.DUMMYFUNCTION("IMPORTRANGE(""https://docs.google.com/spreadsheets/d/1SX6NBoVAgQJ6U1MVXOaj8PK2l7WJ3RER9xtqwdhxkhw/edit?usp=sharing"",""สิงห์บุรี!J381"")"),0)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IFERROR(__xludf.DUMMYFUNCTION("IMPORTRANGE(""https://docs.google.com/spreadsheets/d/1SX6NBoVAgQJ6U1MVXOaj8PK2l7WJ3RER9xtqwdhxkhw/edit?usp=sharing"",""สิงห์บุรี!I384"")"),0)</f>
        <v>0</v>
      </c>
      <c r="J489" s="190">
        <f ca="1">IFERROR(__xludf.DUMMYFUNCTION("IMPORTRANGE(""https://docs.google.com/spreadsheets/d/1SX6NBoVAgQJ6U1MVXOaj8PK2l7WJ3RER9xtqwdhxkhw/edit?usp=sharing"",""สิงห์บุรี!J384"")"),0)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IFERROR(__xludf.DUMMYFUNCTION("IMPORTRANGE(""https://docs.google.com/spreadsheets/d/1SX6NBoVAgQJ6U1MVXOaj8PK2l7WJ3RER9xtqwdhxkhw/edit?usp=sharing"",""สิงห์บุรี!I385"")"),0)</f>
        <v>0</v>
      </c>
      <c r="J490" s="190">
        <f ca="1">IFERROR(__xludf.DUMMYFUNCTION("IMPORTRANGE(""https://docs.google.com/spreadsheets/d/1SX6NBoVAgQJ6U1MVXOaj8PK2l7WJ3RER9xtqwdhxkhw/edit?usp=sharing"",""สิงห์บุรี!J385"")"),0)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IFERROR(__xludf.DUMMYFUNCTION("IMPORTRANGE(""https://docs.google.com/spreadsheets/d/1SX6NBoVAgQJ6U1MVXOaj8PK2l7WJ3RER9xtqwdhxkhw/edit?usp=sharing"",""สิงห์บุรี!I386"")"),0)</f>
        <v>0</v>
      </c>
      <c r="J491" s="190">
        <f ca="1">IFERROR(__xludf.DUMMYFUNCTION("IMPORTRANGE(""https://docs.google.com/spreadsheets/d/1SX6NBoVAgQJ6U1MVXOaj8PK2l7WJ3RER9xtqwdhxkhw/edit?usp=sharing"",""สิงห์บุรี!J386"")"),0)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IFERROR(__xludf.DUMMYFUNCTION("IMPORTRANGE(""https://docs.google.com/spreadsheets/d/1SX6NBoVAgQJ6U1MVXOaj8PK2l7WJ3RER9xtqwdhxkhw/edit?usp=sharing"",""สิงห์บุรี!I387"")"),0)</f>
        <v>0</v>
      </c>
      <c r="J492" s="190">
        <f ca="1">IFERROR(__xludf.DUMMYFUNCTION("IMPORTRANGE(""https://docs.google.com/spreadsheets/d/1SX6NBoVAgQJ6U1MVXOaj8PK2l7WJ3RER9xtqwdhxkhw/edit?usp=sharing"",""สิงห์บุรี!J387"")"),0)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IFERROR(__xludf.DUMMYFUNCTION("IMPORTRANGE(""https://docs.google.com/spreadsheets/d/1SX6NBoVAgQJ6U1MVXOaj8PK2l7WJ3RER9xtqwdhxkhw/edit?usp=sharing"",""สิงห์บุรี!I388"")"),0)</f>
        <v>0</v>
      </c>
      <c r="J493" s="190">
        <f ca="1">IFERROR(__xludf.DUMMYFUNCTION("IMPORTRANGE(""https://docs.google.com/spreadsheets/d/1SX6NBoVAgQJ6U1MVXOaj8PK2l7WJ3RER9xtqwdhxkhw/edit?usp=sharing"",""สิงห์บุรี!J388"")"),0)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IFERROR(__xludf.DUMMYFUNCTION("IMPORTRANGE(""https://docs.google.com/spreadsheets/d/1SX6NBoVAgQJ6U1MVXOaj8PK2l7WJ3RER9xtqwdhxkhw/edit?usp=sharing"",""สิงห์บุรี!I395"")"),0)</f>
        <v>0</v>
      </c>
      <c r="J500" s="164">
        <f ca="1">IFERROR(__xludf.DUMMYFUNCTION("IMPORTRANGE(""https://docs.google.com/spreadsheets/d/1SX6NBoVAgQJ6U1MVXOaj8PK2l7WJ3RER9xtqwdhxkhw/edit?usp=sharing"",""สิงห์บุรี!J395"")"),0)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IFERROR(__xludf.DUMMYFUNCTION("IMPORTRANGE(""https://docs.google.com/spreadsheets/d/1SX6NBoVAgQJ6U1MVXOaj8PK2l7WJ3RER9xtqwdhxkhw/edit?usp=sharing"",""สิงห์บุรี!I396"")"),0)</f>
        <v>0</v>
      </c>
      <c r="J501" s="164">
        <f ca="1">IFERROR(__xludf.DUMMYFUNCTION("IMPORTRANGE(""https://docs.google.com/spreadsheets/d/1SX6NBoVAgQJ6U1MVXOaj8PK2l7WJ3RER9xtqwdhxkhw/edit?usp=sharing"",""สิงห์บุรี!J396"")"),0)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IFERROR(__xludf.DUMMYFUNCTION("IMPORTRANGE(""https://docs.google.com/spreadsheets/d/1SX6NBoVAgQJ6U1MVXOaj8PK2l7WJ3RER9xtqwdhxkhw/edit?usp=sharing"",""สิงห์บุรี!I397"")"),0)</f>
        <v>0</v>
      </c>
      <c r="J502" s="190">
        <f ca="1">IFERROR(__xludf.DUMMYFUNCTION("IMPORTRANGE(""https://docs.google.com/spreadsheets/d/1SX6NBoVAgQJ6U1MVXOaj8PK2l7WJ3RER9xtqwdhxkhw/edit?usp=sharing"",""สิงห์บุรี!J397"")"),0)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IFERROR(__xludf.DUMMYFUNCTION("IMPORTRANGE(""https://docs.google.com/spreadsheets/d/1SX6NBoVAgQJ6U1MVXOaj8PK2l7WJ3RER9xtqwdhxkhw/edit?usp=sharing"",""สิงห์บุรี!I398"")"),0)</f>
        <v>0</v>
      </c>
      <c r="J503" s="199">
        <f ca="1">IFERROR(__xludf.DUMMYFUNCTION("IMPORTRANGE(""https://docs.google.com/spreadsheets/d/1SX6NBoVAgQJ6U1MVXOaj8PK2l7WJ3RER9xtqwdhxkhw/edit?usp=sharing"",""สิงห์บุรี!J398"")"),0)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IFERROR(__xludf.DUMMYFUNCTION("IMPORTRANGE(""https://docs.google.com/spreadsheets/d/1SX6NBoVAgQJ6U1MVXOaj8PK2l7WJ3RER9xtqwdhxkhw/edit?usp=sharing"",""สิงห์บุรี!I399"")"),0)</f>
        <v>0</v>
      </c>
      <c r="J504" s="190">
        <f ca="1">IFERROR(__xludf.DUMMYFUNCTION("IMPORTRANGE(""https://docs.google.com/spreadsheets/d/1SX6NBoVAgQJ6U1MVXOaj8PK2l7WJ3RER9xtqwdhxkhw/edit?usp=sharing"",""สิงห์บุรี!J399"")"),0)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IFERROR(__xludf.DUMMYFUNCTION("IMPORTRANGE(""https://docs.google.com/spreadsheets/d/1SX6NBoVAgQJ6U1MVXOaj8PK2l7WJ3RER9xtqwdhxkhw/edit?usp=sharing"",""สิงห์บุรี!I400"")"),0)</f>
        <v>0</v>
      </c>
      <c r="J505" s="199">
        <f ca="1">IFERROR(__xludf.DUMMYFUNCTION("IMPORTRANGE(""https://docs.google.com/spreadsheets/d/1SX6NBoVAgQJ6U1MVXOaj8PK2l7WJ3RER9xtqwdhxkhw/edit?usp=sharing"",""สิงห์บุรี!J400"")"),0)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IFERROR(__xludf.DUMMYFUNCTION("IMPORTRANGE(""https://docs.google.com/spreadsheets/d/1SX6NBoVAgQJ6U1MVXOaj8PK2l7WJ3RER9xtqwdhxkhw/edit?usp=sharing"",""สิงห์บุรี!I401"")"),0)</f>
        <v>0</v>
      </c>
      <c r="J506" s="190">
        <f ca="1">IFERROR(__xludf.DUMMYFUNCTION("IMPORTRANGE(""https://docs.google.com/spreadsheets/d/1SX6NBoVAgQJ6U1MVXOaj8PK2l7WJ3RER9xtqwdhxkhw/edit?usp=sharing"",""สิงห์บุรี!J401"")"),0)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IFERROR(__xludf.DUMMYFUNCTION("IMPORTRANGE(""https://docs.google.com/spreadsheets/d/1SX6NBoVAgQJ6U1MVXOaj8PK2l7WJ3RER9xtqwdhxkhw/edit?usp=sharing"",""สิงห์บุรี!I402"")"),0)</f>
        <v>0</v>
      </c>
      <c r="J507" s="199">
        <f ca="1">IFERROR(__xludf.DUMMYFUNCTION("IMPORTRANGE(""https://docs.google.com/spreadsheets/d/1SX6NBoVAgQJ6U1MVXOaj8PK2l7WJ3RER9xtqwdhxkhw/edit?usp=sharing"",""สิงห์บุรี!J402"")"),0)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IFERROR(__xludf.DUMMYFUNCTION("IMPORTRANGE(""https://docs.google.com/spreadsheets/d/1SX6NBoVAgQJ6U1MVXOaj8PK2l7WJ3RER9xtqwdhxkhw/edit?usp=sharing"",""สิงห์บุรี!I403"")"),0)</f>
        <v>0</v>
      </c>
      <c r="J508" s="164">
        <f ca="1">IFERROR(__xludf.DUMMYFUNCTION("IMPORTRANGE(""https://docs.google.com/spreadsheets/d/1SX6NBoVAgQJ6U1MVXOaj8PK2l7WJ3RER9xtqwdhxkhw/edit?usp=sharing"",""สิงห์บุรี!J403"")"),0)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IFERROR(__xludf.DUMMYFUNCTION("IMPORTRANGE(""https://docs.google.com/spreadsheets/d/1SX6NBoVAgQJ6U1MVXOaj8PK2l7WJ3RER9xtqwdhxkhw/edit?usp=sharing"",""สิงห์บุรี!I404"")"),0)</f>
        <v>0</v>
      </c>
      <c r="J509" s="164">
        <f ca="1">IFERROR(__xludf.DUMMYFUNCTION("IMPORTRANGE(""https://docs.google.com/spreadsheets/d/1SX6NBoVAgQJ6U1MVXOaj8PK2l7WJ3RER9xtqwdhxkhw/edit?usp=sharing"",""สิงห์บุรี!J404"")"),0)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IFERROR(__xludf.DUMMYFUNCTION("IMPORTRANGE(""https://docs.google.com/spreadsheets/d/1SX6NBoVAgQJ6U1MVXOaj8PK2l7WJ3RER9xtqwdhxkhw/edit?usp=sharing"",""สิงห์บุรี!I405"")"),0)</f>
        <v>0</v>
      </c>
      <c r="J510" s="199">
        <f ca="1">IFERROR(__xludf.DUMMYFUNCTION("IMPORTRANGE(""https://docs.google.com/spreadsheets/d/1SX6NBoVAgQJ6U1MVXOaj8PK2l7WJ3RER9xtqwdhxkhw/edit?usp=sharing"",""สิงห์บุรี!J405"")"),0)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IFERROR(__xludf.DUMMYFUNCTION("IMPORTRANGE(""https://docs.google.com/spreadsheets/d/1SX6NBoVAgQJ6U1MVXOaj8PK2l7WJ3RER9xtqwdhxkhw/edit?usp=sharing"",""สิงห์บุรี!I406"")"),0)</f>
        <v>0</v>
      </c>
      <c r="J511" s="199">
        <f ca="1">IFERROR(__xludf.DUMMYFUNCTION("IMPORTRANGE(""https://docs.google.com/spreadsheets/d/1SX6NBoVAgQJ6U1MVXOaj8PK2l7WJ3RER9xtqwdhxkhw/edit?usp=sharing"",""สิงห์บุรี!J406"")"),0)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IFERROR(__xludf.DUMMYFUNCTION("IMPORTRANGE(""https://docs.google.com/spreadsheets/d/1SX6NBoVAgQJ6U1MVXOaj8PK2l7WJ3RER9xtqwdhxkhw/edit?usp=sharing"",""สิงห์บุรี!I407"")"),0)</f>
        <v>0</v>
      </c>
      <c r="J512" s="199">
        <f ca="1">IFERROR(__xludf.DUMMYFUNCTION("IMPORTRANGE(""https://docs.google.com/spreadsheets/d/1SX6NBoVAgQJ6U1MVXOaj8PK2l7WJ3RER9xtqwdhxkhw/edit?usp=sharing"",""สิงห์บุรี!J407"")"),0)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IFERROR(__xludf.DUMMYFUNCTION("IMPORTRANGE(""https://docs.google.com/spreadsheets/d/1SX6NBoVAgQJ6U1MVXOaj8PK2l7WJ3RER9xtqwdhxkhw/edit?usp=sharing"",""สิงห์บุรี!I408"")"),0)</f>
        <v>0</v>
      </c>
      <c r="J513" s="199">
        <f ca="1">IFERROR(__xludf.DUMMYFUNCTION("IMPORTRANGE(""https://docs.google.com/spreadsheets/d/1SX6NBoVAgQJ6U1MVXOaj8PK2l7WJ3RER9xtqwdhxkhw/edit?usp=sharing"",""สิงห์บุรี!J408"")"),0)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IFERROR(__xludf.DUMMYFUNCTION("IMPORTRANGE(""https://docs.google.com/spreadsheets/d/1SX6NBoVAgQJ6U1MVXOaj8PK2l7WJ3RER9xtqwdhxkhw/edit?usp=sharing"",""สิงห์บุรี!I409"")"),0)</f>
        <v>0</v>
      </c>
      <c r="J514" s="199">
        <f ca="1">IFERROR(__xludf.DUMMYFUNCTION("IMPORTRANGE(""https://docs.google.com/spreadsheets/d/1SX6NBoVAgQJ6U1MVXOaj8PK2l7WJ3RER9xtqwdhxkhw/edit?usp=sharing"",""สิงห์บุรี!J409"")"),0)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IFERROR(__xludf.DUMMYFUNCTION("IMPORTRANGE(""https://docs.google.com/spreadsheets/d/1SX6NBoVAgQJ6U1MVXOaj8PK2l7WJ3RER9xtqwdhxkhw/edit?usp=sharing"",""สิงห์บุรี!I410"")"),0)</f>
        <v>0</v>
      </c>
      <c r="J515" s="199">
        <f ca="1">IFERROR(__xludf.DUMMYFUNCTION("IMPORTRANGE(""https://docs.google.com/spreadsheets/d/1SX6NBoVAgQJ6U1MVXOaj8PK2l7WJ3RER9xtqwdhxkhw/edit?usp=sharing"",""สิงห์บุรี!J410"")"),0)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IFERROR(__xludf.DUMMYFUNCTION("IMPORTRANGE(""https://docs.google.com/spreadsheets/d/1SX6NBoVAgQJ6U1MVXOaj8PK2l7WJ3RER9xtqwdhxkhw/edit?usp=sharing"",""สิงห์บุรี!I412"")"),0)</f>
        <v>0</v>
      </c>
      <c r="J517" s="284">
        <f ca="1">IFERROR(__xludf.DUMMYFUNCTION("IMPORTRANGE(""https://docs.google.com/spreadsheets/d/1SX6NBoVAgQJ6U1MVXOaj8PK2l7WJ3RER9xtqwdhxkhw/edit?usp=sharing"",""สิงห์บุรี!J412"")"),0)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IFERROR(__xludf.DUMMYFUNCTION("IMPORTRANGE(""https://docs.google.com/spreadsheets/d/1SX6NBoVAgQJ6U1MVXOaj8PK2l7WJ3RER9xtqwdhxkhw/edit?usp=sharing"",""สิงห์บุรี!I413"")"),0)</f>
        <v>0</v>
      </c>
      <c r="J518" s="284">
        <f ca="1">IFERROR(__xludf.DUMMYFUNCTION("IMPORTRANGE(""https://docs.google.com/spreadsheets/d/1SX6NBoVAgQJ6U1MVXOaj8PK2l7WJ3RER9xtqwdhxkhw/edit?usp=sharing"",""สิงห์บุรี!J413"")"),0)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IFERROR(__xludf.DUMMYFUNCTION("IMPORTRANGE(""https://docs.google.com/spreadsheets/d/1SX6NBoVAgQJ6U1MVXOaj8PK2l7WJ3RER9xtqwdhxkhw/edit?usp=sharing"",""สิงห์บุรี!I414"")"),0)</f>
        <v>0</v>
      </c>
      <c r="J519" s="189">
        <f ca="1">IFERROR(__xludf.DUMMYFUNCTION("IMPORTRANGE(""https://docs.google.com/spreadsheets/d/1SX6NBoVAgQJ6U1MVXOaj8PK2l7WJ3RER9xtqwdhxkhw/edit?usp=sharing"",""สิงห์บุรี!J414"")"),0)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IFERROR(__xludf.DUMMYFUNCTION("IMPORTRANGE(""https://docs.google.com/spreadsheets/d/1SX6NBoVAgQJ6U1MVXOaj8PK2l7WJ3RER9xtqwdhxkhw/edit?usp=sharing"",""สิงห์บุรี!I415"")"),0)</f>
        <v>0</v>
      </c>
      <c r="J520" s="189">
        <f ca="1">IFERROR(__xludf.DUMMYFUNCTION("IMPORTRANGE(""https://docs.google.com/spreadsheets/d/1SX6NBoVAgQJ6U1MVXOaj8PK2l7WJ3RER9xtqwdhxkhw/edit?usp=sharing"",""สิงห์บุรี!J415"")"),0)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IFERROR(__xludf.DUMMYFUNCTION("IMPORTRANGE(""https://docs.google.com/spreadsheets/d/1SX6NBoVAgQJ6U1MVXOaj8PK2l7WJ3RER9xtqwdhxkhw/edit?usp=sharing"",""สิงห์บุรี!I416"")"),0)</f>
        <v>0</v>
      </c>
      <c r="J521" s="189">
        <f ca="1">IFERROR(__xludf.DUMMYFUNCTION("IMPORTRANGE(""https://docs.google.com/spreadsheets/d/1SX6NBoVAgQJ6U1MVXOaj8PK2l7WJ3RER9xtqwdhxkhw/edit?usp=sharing"",""สิงห์บุรี!J416"")"),0)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IFERROR(__xludf.DUMMYFUNCTION("IMPORTRANGE(""https://docs.google.com/spreadsheets/d/1SX6NBoVAgQJ6U1MVXOaj8PK2l7WJ3RER9xtqwdhxkhw/edit?usp=sharing"",""สิงห์บุรี!I417"")"),0)</f>
        <v>0</v>
      </c>
      <c r="J522" s="189">
        <f ca="1">IFERROR(__xludf.DUMMYFUNCTION("IMPORTRANGE(""https://docs.google.com/spreadsheets/d/1SX6NBoVAgQJ6U1MVXOaj8PK2l7WJ3RER9xtqwdhxkhw/edit?usp=sharing"",""สิงห์บุรี!J417"")"),0)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IFERROR(__xludf.DUMMYFUNCTION("IMPORTRANGE(""https://docs.google.com/spreadsheets/d/1SX6NBoVAgQJ6U1MVXOaj8PK2l7WJ3RER9xtqwdhxkhw/edit?usp=sharing"",""สิงห์บุรี!I418"")"),0)</f>
        <v>0</v>
      </c>
      <c r="J523" s="189">
        <f ca="1">IFERROR(__xludf.DUMMYFUNCTION("IMPORTRANGE(""https://docs.google.com/spreadsheets/d/1SX6NBoVAgQJ6U1MVXOaj8PK2l7WJ3RER9xtqwdhxkhw/edit?usp=sharing"",""สิงห์บุรี!J418"")"),0)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IFERROR(__xludf.DUMMYFUNCTION("IMPORTRANGE(""https://docs.google.com/spreadsheets/d/1SX6NBoVAgQJ6U1MVXOaj8PK2l7WJ3RER9xtqwdhxkhw/edit?usp=sharing"",""สิงห์บุรี!I419"")"),0)</f>
        <v>0</v>
      </c>
      <c r="J524" s="189">
        <f ca="1">IFERROR(__xludf.DUMMYFUNCTION("IMPORTRANGE(""https://docs.google.com/spreadsheets/d/1SX6NBoVAgQJ6U1MVXOaj8PK2l7WJ3RER9xtqwdhxkhw/edit?usp=sharing"",""สิงห์บุรี!J419"")"),0)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IFERROR(__xludf.DUMMYFUNCTION("IMPORTRANGE(""https://docs.google.com/spreadsheets/d/1SX6NBoVAgQJ6U1MVXOaj8PK2l7WJ3RER9xtqwdhxkhw/edit?usp=sharing"",""สิงห์บุรี!I420"")"),0)</f>
        <v>0</v>
      </c>
      <c r="J525" s="284">
        <f ca="1">IFERROR(__xludf.DUMMYFUNCTION("IMPORTRANGE(""https://docs.google.com/spreadsheets/d/1SX6NBoVAgQJ6U1MVXOaj8PK2l7WJ3RER9xtqwdhxkhw/edit?usp=sharing"",""สิงห์บุรี!J420"")"),0)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IFERROR(__xludf.DUMMYFUNCTION("IMPORTRANGE(""https://docs.google.com/spreadsheets/d/1SX6NBoVAgQJ6U1MVXOaj8PK2l7WJ3RER9xtqwdhxkhw/edit?usp=sharing"",""สิงห์บุรี!I421"")"),0)</f>
        <v>0</v>
      </c>
      <c r="J526" s="284">
        <f ca="1">IFERROR(__xludf.DUMMYFUNCTION("IMPORTRANGE(""https://docs.google.com/spreadsheets/d/1SX6NBoVAgQJ6U1MVXOaj8PK2l7WJ3RER9xtqwdhxkhw/edit?usp=sharing"",""สิงห์บุรี!J421"")"),0)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IFERROR(__xludf.DUMMYFUNCTION("IMPORTRANGE(""https://docs.google.com/spreadsheets/d/1SX6NBoVAgQJ6U1MVXOaj8PK2l7WJ3RER9xtqwdhxkhw/edit?usp=sharing"",""สิงห์บุรี!I422"")"),0)</f>
        <v>0</v>
      </c>
      <c r="J527" s="199">
        <f ca="1">IFERROR(__xludf.DUMMYFUNCTION("IMPORTRANGE(""https://docs.google.com/spreadsheets/d/1SX6NBoVAgQJ6U1MVXOaj8PK2l7WJ3RER9xtqwdhxkhw/edit?usp=sharing"",""สิงห์บุรี!J422"")"),0)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IFERROR(__xludf.DUMMYFUNCTION("IMPORTRANGE(""https://docs.google.com/spreadsheets/d/1SX6NBoVAgQJ6U1MVXOaj8PK2l7WJ3RER9xtqwdhxkhw/edit?usp=sharing"",""สิงห์บุรี!I423"")"),0)</f>
        <v>0</v>
      </c>
      <c r="J528" s="199">
        <f ca="1">IFERROR(__xludf.DUMMYFUNCTION("IMPORTRANGE(""https://docs.google.com/spreadsheets/d/1SX6NBoVAgQJ6U1MVXOaj8PK2l7WJ3RER9xtqwdhxkhw/edit?usp=sharing"",""สิงห์บุรี!J423"")"),0)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IFERROR(__xludf.DUMMYFUNCTION("IMPORTRANGE(""https://docs.google.com/spreadsheets/d/1SX6NBoVAgQJ6U1MVXOaj8PK2l7WJ3RER9xtqwdhxkhw/edit?usp=sharing"",""สิงห์บุรี!I424"")"),0)</f>
        <v>0</v>
      </c>
      <c r="J529" s="199">
        <f ca="1">IFERROR(__xludf.DUMMYFUNCTION("IMPORTRANGE(""https://docs.google.com/spreadsheets/d/1SX6NBoVAgQJ6U1MVXOaj8PK2l7WJ3RER9xtqwdhxkhw/edit?usp=sharing"",""สิงห์บุรี!J424"")"),0)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IFERROR(__xludf.DUMMYFUNCTION("IMPORTRANGE(""https://docs.google.com/spreadsheets/d/1SX6NBoVAgQJ6U1MVXOaj8PK2l7WJ3RER9xtqwdhxkhw/edit?usp=sharing"",""สิงห์บุรี!I425"")"),0)</f>
        <v>0</v>
      </c>
      <c r="J530" s="199">
        <f ca="1">IFERROR(__xludf.DUMMYFUNCTION("IMPORTRANGE(""https://docs.google.com/spreadsheets/d/1SX6NBoVAgQJ6U1MVXOaj8PK2l7WJ3RER9xtqwdhxkhw/edit?usp=sharing"",""สิงห์บุรี!J425"")"),0)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IFERROR(__xludf.DUMMYFUNCTION("IMPORTRANGE(""https://docs.google.com/spreadsheets/d/1SX6NBoVAgQJ6U1MVXOaj8PK2l7WJ3RER9xtqwdhxkhw/edit?usp=sharing"",""สิงห์บุรี!I426"")"),0)</f>
        <v>0</v>
      </c>
      <c r="J531" s="199">
        <f ca="1">IFERROR(__xludf.DUMMYFUNCTION("IMPORTRANGE(""https://docs.google.com/spreadsheets/d/1SX6NBoVAgQJ6U1MVXOaj8PK2l7WJ3RER9xtqwdhxkhw/edit?usp=sharing"",""สิงห์บุรี!J426"")"),0)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IFERROR(__xludf.DUMMYFUNCTION("IMPORTRANGE(""https://docs.google.com/spreadsheets/d/1SX6NBoVAgQJ6U1MVXOaj8PK2l7WJ3RER9xtqwdhxkhw/edit?usp=sharing"",""สิงห์บุรี!L429"")"),0)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IFERROR(__xludf.DUMMYFUNCTION("IMPORTRANGE(""https://docs.google.com/spreadsheets/d/1SX6NBoVAgQJ6U1MVXOaj8PK2l7WJ3RER9xtqwdhxkhw/edit?usp=sharing"",""สิงห์บุรี!M429"")"),0)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IFERROR(__xludf.DUMMYFUNCTION("IMPORTRANGE(""https://docs.google.com/spreadsheets/d/1SX6NBoVAgQJ6U1MVXOaj8PK2l7WJ3RER9xtqwdhxkhw/edit?usp=sharing"",""สิงห์บุรี!L430"")"),24140)</f>
        <v>24140</v>
      </c>
      <c r="M535" s="167"/>
      <c r="N535" s="170">
        <f ca="1">IFERROR(__xludf.DUMMYFUNCTION("IMPORTRANGE(""https://docs.google.com/spreadsheets/d/1SX6NBoVAgQJ6U1MVXOaj8PK2l7WJ3RER9xtqwdhxkhw/edit?usp=sharing"",""สิงห์บุรี!M430"")"),23055)</f>
        <v>23055</v>
      </c>
      <c r="O535" s="170">
        <f t="shared" ca="1" si="118"/>
        <v>95.505385252692619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IFERROR(__xludf.DUMMYFUNCTION("IMPORTRANGE(""https://docs.google.com/spreadsheets/d/1SX6NBoVAgQJ6U1MVXOaj8PK2l7WJ3RER9xtqwdhxkhw/edit?usp=sharing"",""สิงห์บุรี!L431"")"),0)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IFERROR(__xludf.DUMMYFUNCTION("IMPORTRANGE(""https://docs.google.com/spreadsheets/d/1SX6NBoVAgQJ6U1MVXOaj8PK2l7WJ3RER9xtqwdhxkhw/edit?usp=sharing"",""สิงห์บุรี!M431"")"),0)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IFERROR(__xludf.DUMMYFUNCTION("IMPORTRANGE(""https://docs.google.com/spreadsheets/d/1SX6NBoVAgQJ6U1MVXOaj8PK2l7WJ3RER9xtqwdhxkhw/edit?usp=sharing"",""สิงห์บุรี!L432"")"),24140)</f>
        <v>24140</v>
      </c>
      <c r="M537" s="170"/>
      <c r="N537" s="170">
        <f ca="1">IFERROR(__xludf.DUMMYFUNCTION("IMPORTRANGE(""https://docs.google.com/spreadsheets/d/1SX6NBoVAgQJ6U1MVXOaj8PK2l7WJ3RER9xtqwdhxkhw/edit?usp=sharing"",""สิงห์บุรี!M432"")"),23055)</f>
        <v>23055</v>
      </c>
      <c r="O537" s="170">
        <f t="shared" ca="1" si="118"/>
        <v>95.505385252692619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IFERROR(__xludf.DUMMYFUNCTION("IMPORTRANGE(""https://docs.google.com/spreadsheets/d/1SX6NBoVAgQJ6U1MVXOaj8PK2l7WJ3RER9xtqwdhxkhw/edit?usp=sharing"",""สิงห์บุรี!J438"")"),0)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IFERROR(__xludf.DUMMYFUNCTION("IMPORTRANGE(""https://docs.google.com/spreadsheets/d/1SX6NBoVAgQJ6U1MVXOaj8PK2l7WJ3RER9xtqwdhxkhw/edit?usp=sharing"",""สิงห์บุรี!J439"")"),0)</f>
        <v>0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IFERROR(__xludf.DUMMYFUNCTION("IMPORTRANGE(""https://docs.google.com/spreadsheets/d/1SX6NBoVAgQJ6U1MVXOaj8PK2l7WJ3RER9xtqwdhxkhw/edit?usp=sharing"",""สิงห์บุรี!J440"")"),0)</f>
        <v>0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IFERROR(__xludf.DUMMYFUNCTION("IMPORTRANGE(""https://docs.google.com/spreadsheets/d/1SX6NBoVAgQJ6U1MVXOaj8PK2l7WJ3RER9xtqwdhxkhw/edit?usp=sharing"",""สิงห์บุรี!J441"")"),0)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IFERROR(__xludf.DUMMYFUNCTION("IMPORTRANGE(""https://docs.google.com/spreadsheets/d/1SX6NBoVAgQJ6U1MVXOaj8PK2l7WJ3RER9xtqwdhxkhw/edit?usp=sharing"",""สิงห์บุรี!I442"")"),10)</f>
        <v>10</v>
      </c>
      <c r="J547" s="190">
        <f ca="1">IFERROR(__xludf.DUMMYFUNCTION("IMPORTRANGE(""https://docs.google.com/spreadsheets/d/1SX6NBoVAgQJ6U1MVXOaj8PK2l7WJ3RER9xtqwdhxkhw/edit?usp=sharing"",""สิงห์บุรี!J442"")"),10)</f>
        <v>10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IFERROR(__xludf.DUMMYFUNCTION("IMPORTRANGE(""https://docs.google.com/spreadsheets/d/1SX6NBoVAgQJ6U1MVXOaj8PK2l7WJ3RER9xtqwdhxkhw/edit?usp=sharing"",""สิงห์บุรี!J166"")"),0)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IFERROR(__xludf.DUMMYFUNCTION("IMPORTRANGE(""https://docs.google.com/spreadsheets/d/1SX6NBoVAgQJ6U1MVXOaj8PK2l7WJ3RER9xtqwdhxkhw/edit?usp=sharing"",""สิงห์บุรี!J444"")"),0)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IFERROR(__xludf.DUMMYFUNCTION("IMPORTRANGE(""https://docs.google.com/spreadsheets/d/1SX6NBoVAgQJ6U1MVXOaj8PK2l7WJ3RER9xtqwdhxkhw/edit?usp=sharing"",""สิงห์บุรี!L447"")"),0)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IFERROR(__xludf.DUMMYFUNCTION("IMPORTRANGE(""https://docs.google.com/spreadsheets/d/1SX6NBoVAgQJ6U1MVXOaj8PK2l7WJ3RER9xtqwdhxkhw/edit?usp=sharing"",""สิงห์บุรี!M447"")"),0)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IFERROR(__xludf.DUMMYFUNCTION("IMPORTRANGE(""https://docs.google.com/spreadsheets/d/1SX6NBoVAgQJ6U1MVXOaj8PK2l7WJ3RER9xtqwdhxkhw/edit?usp=sharing"",""สิงห์บุรี!L448"")"),0)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IFERROR(__xludf.DUMMYFUNCTION("IMPORTRANGE(""https://docs.google.com/spreadsheets/d/1SX6NBoVAgQJ6U1MVXOaj8PK2l7WJ3RER9xtqwdhxkhw/edit?usp=sharing"",""สิงห์บุรี!M448"")"),0)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IFERROR(__xludf.DUMMYFUNCTION("IMPORTRANGE(""https://docs.google.com/spreadsheets/d/1SX6NBoVAgQJ6U1MVXOaj8PK2l7WJ3RER9xtqwdhxkhw/edit?usp=sharing"",""สิงห์บุรี!L449"")"),0)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IFERROR(__xludf.DUMMYFUNCTION("IMPORTRANGE(""https://docs.google.com/spreadsheets/d/1SX6NBoVAgQJ6U1MVXOaj8PK2l7WJ3RER9xtqwdhxkhw/edit?usp=sharing"",""สิงห์บุรี!M449"")"),0)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IFERROR(__xludf.DUMMYFUNCTION("IMPORTRANGE(""https://docs.google.com/spreadsheets/d/1SX6NBoVAgQJ6U1MVXOaj8PK2l7WJ3RER9xtqwdhxkhw/edit?usp=sharing"",""สิงห์บุรี!L450"")"),0)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IFERROR(__xludf.DUMMYFUNCTION("IMPORTRANGE(""https://docs.google.com/spreadsheets/d/1SX6NBoVAgQJ6U1MVXOaj8PK2l7WJ3RER9xtqwdhxkhw/edit?usp=sharing"",""สิงห์บุรี!M450"")"),0)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IFERROR(__xludf.DUMMYFUNCTION("IMPORTRANGE(""https://docs.google.com/spreadsheets/d/1SX6NBoVAgQJ6U1MVXOaj8PK2l7WJ3RER9xtqwdhxkhw/edit?usp=sharing"",""สิงห์บุรี!M451"")"),0)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IFERROR(__xludf.DUMMYFUNCTION("IMPORTRANGE(""https://docs.google.com/spreadsheets/d/1SX6NBoVAgQJ6U1MVXOaj8PK2l7WJ3RER9xtqwdhxkhw/edit?usp=sharing"",""สิงห์บุรี!M452"")"),0)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IFERROR(__xludf.DUMMYFUNCTION("IMPORTRANGE(""https://docs.google.com/spreadsheets/d/1SX6NBoVAgQJ6U1MVXOaj8PK2l7WJ3RER9xtqwdhxkhw/edit?usp=sharing"",""สิงห์บุรี!M453"")"),0)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IFERROR(__xludf.DUMMYFUNCTION("IMPORTRANGE(""https://docs.google.com/spreadsheets/d/1SX6NBoVAgQJ6U1MVXOaj8PK2l7WJ3RER9xtqwdhxkhw/edit?usp=sharing"",""สิงห์บุรี!M454"")"),0)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IFERROR(__xludf.DUMMYFUNCTION("IMPORTRANGE(""https://docs.google.com/spreadsheets/d/1SX6NBoVAgQJ6U1MVXOaj8PK2l7WJ3RER9xtqwdhxkhw/edit?usp=sharing"",""สิงห์บุรี!I455"")"),0)</f>
        <v>0</v>
      </c>
      <c r="J560" s="164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IFERROR(__xludf.DUMMYFUNCTION("IMPORTRANGE(""https://docs.google.com/spreadsheets/d/1SX6NBoVAgQJ6U1MVXOaj8PK2l7WJ3RER9xtqwdhxkhw/edit?usp=sharing"",""สิงห์บุรี!I456"")"),0)</f>
        <v>0</v>
      </c>
      <c r="J561" s="205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IFERROR(__xludf.DUMMYFUNCTION("IMPORTRANGE(""https://docs.google.com/spreadsheets/d/1SX6NBoVAgQJ6U1MVXOaj8PK2l7WJ3RER9xtqwdhxkhw/edit?usp=sharing"",""สิงห์บุรี!I457"")"),0)</f>
        <v>0</v>
      </c>
      <c r="J562" s="205" t="str">
        <f ca="1">IFERROR(__xludf.DUMMYFUNCTION("IMPORTRANGE(""https://docs.google.com/spreadsheets/d/1SX6NBoVAgQJ6U1MVXOaj8PK2l7WJ3RER9xtqwdhxkhw/edit?usp=sharing"",""สิงห์บุรี!J457"")"),"")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IFERROR(__xludf.DUMMYFUNCTION("IMPORTRANGE(""https://docs.google.com/spreadsheets/d/1SX6NBoVAgQJ6U1MVXOaj8PK2l7WJ3RER9xtqwdhxkhw/edit?usp=sharing"",""สิงห์บุรี!I458"")"),0)</f>
        <v>0</v>
      </c>
      <c r="J563" s="189" t="str">
        <f ca="1">IFERROR(__xludf.DUMMYFUNCTION("IMPORTRANGE(""https://docs.google.com/spreadsheets/d/1SX6NBoVAgQJ6U1MVXOaj8PK2l7WJ3RER9xtqwdhxkhw/edit?usp=sharing"",""สิงห์บุรี!J458"")"),"")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IFERROR(__xludf.DUMMYFUNCTION("IMPORTRANGE(""https://docs.google.com/spreadsheets/d/1SX6NBoVAgQJ6U1MVXOaj8PK2l7WJ3RER9xtqwdhxkhw/edit?usp=sharing"",""สิงห์บุรี!J459"")"),11)</f>
        <v>11</v>
      </c>
      <c r="K564" s="372">
        <f t="shared" ca="1" si="121"/>
        <v>55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IFERROR(__xludf.DUMMYFUNCTION("IMPORTRANGE(""https://docs.google.com/spreadsheets/d/1SX6NBoVAgQJ6U1MVXOaj8PK2l7WJ3RER9xtqwdhxkhw/edit?usp=sharing"",""สิงห์บุรี!M459"")"),32633.33)</f>
        <v>32633.33</v>
      </c>
      <c r="O564" s="373">
        <f t="shared" ref="O564:O568" ca="1" si="122">+IF(L564&gt;0,N564*100/L564,0)</f>
        <v>27.69291412084182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IFERROR(__xludf.DUMMYFUNCTION("IMPORTRANGE(""https://docs.google.com/spreadsheets/d/1SX6NBoVAgQJ6U1MVXOaj8PK2l7WJ3RER9xtqwdhxkhw/edit?usp=sharing"",""สิงห์บุรี!L460"")"),0)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IFERROR(__xludf.DUMMYFUNCTION("IMPORTRANGE(""https://docs.google.com/spreadsheets/d/1SX6NBoVAgQJ6U1MVXOaj8PK2l7WJ3RER9xtqwdhxkhw/edit?usp=sharing"",""สิงห์บุรี!M460"")"),0)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IFERROR(__xludf.DUMMYFUNCTION("IMPORTRANGE(""https://docs.google.com/spreadsheets/d/1SX6NBoVAgQJ6U1MVXOaj8PK2l7WJ3RER9xtqwdhxkhw/edit?usp=sharing"",""สิงห์บุรี!L461"")"),117840)</f>
        <v>117840</v>
      </c>
      <c r="M566" s="167"/>
      <c r="N566" s="170">
        <f ca="1">IFERROR(__xludf.DUMMYFUNCTION("IMPORTRANGE(""https://docs.google.com/spreadsheets/d/1SX6NBoVAgQJ6U1MVXOaj8PK2l7WJ3RER9xtqwdhxkhw/edit?usp=sharing"",""สิงห์บุรี!M461"")"),32633.33)</f>
        <v>32633.33</v>
      </c>
      <c r="O566" s="170">
        <f t="shared" ca="1" si="122"/>
        <v>27.69291412084182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IFERROR(__xludf.DUMMYFUNCTION("IMPORTRANGE(""https://docs.google.com/spreadsheets/d/1SX6NBoVAgQJ6U1MVXOaj8PK2l7WJ3RER9xtqwdhxkhw/edit?usp=sharing"",""สิงห์บุรี!L462"")"),0)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IFERROR(__xludf.DUMMYFUNCTION("IMPORTRANGE(""https://docs.google.com/spreadsheets/d/1SX6NBoVAgQJ6U1MVXOaj8PK2l7WJ3RER9xtqwdhxkhw/edit?usp=sharing"",""สิงห์บุรี!M462"")"),0)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IFERROR(__xludf.DUMMYFUNCTION("IMPORTRANGE(""https://docs.google.com/spreadsheets/d/1SX6NBoVAgQJ6U1MVXOaj8PK2l7WJ3RER9xtqwdhxkhw/edit?usp=sharing"",""สิงห์บุรี!L463"")"),117840)</f>
        <v>117840</v>
      </c>
      <c r="M568" s="170"/>
      <c r="N568" s="170">
        <f ca="1">IFERROR(__xludf.DUMMYFUNCTION("IMPORTRANGE(""https://docs.google.com/spreadsheets/d/1SX6NBoVAgQJ6U1MVXOaj8PK2l7WJ3RER9xtqwdhxkhw/edit?usp=sharing"",""สิงห์บุรี!M463"")"),32633.33)</f>
        <v>32633.33</v>
      </c>
      <c r="O568" s="170">
        <f t="shared" ca="1" si="122"/>
        <v>27.69291412084182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IFERROR(__xludf.DUMMYFUNCTION("IMPORTRANGE(""https://docs.google.com/spreadsheets/d/1SX6NBoVAgQJ6U1MVXOaj8PK2l7WJ3RER9xtqwdhxkhw/edit?usp=sharing"",""สิงห์บุรี!M464"")"),0)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IFERROR(__xludf.DUMMYFUNCTION("IMPORTRANGE(""https://docs.google.com/spreadsheets/d/1SX6NBoVAgQJ6U1MVXOaj8PK2l7WJ3RER9xtqwdhxkhw/edit?usp=sharing"",""สิงห์บุรี!M465"")"),0)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IFERROR(__xludf.DUMMYFUNCTION("IMPORTRANGE(""https://docs.google.com/spreadsheets/d/1SX6NBoVAgQJ6U1MVXOaj8PK2l7WJ3RER9xtqwdhxkhw/edit?usp=sharing"",""สิงห์บุรี!M466"")"),32633.33)</f>
        <v>32633.33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IFERROR(__xludf.DUMMYFUNCTION("IMPORTRANGE(""https://docs.google.com/spreadsheets/d/1SX6NBoVAgQJ6U1MVXOaj8PK2l7WJ3RER9xtqwdhxkhw/edit?usp=sharing"",""สิงห์บุรี!M467"")"),0)</f>
        <v>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IFERROR(__xludf.DUMMYFUNCTION("IMPORTRANGE(""https://docs.google.com/spreadsheets/d/1SX6NBoVAgQJ6U1MVXOaj8PK2l7WJ3RER9xtqwdhxkhw/edit?usp=sharing"",""สิงห์บุรี!J468"")"),11)</f>
        <v>11</v>
      </c>
      <c r="K573" s="203">
        <f ca="1">IF(I573&gt;0,J573*100/I573,0)</f>
        <v>55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IFERROR(__xludf.DUMMYFUNCTION("IMPORTRANGE(""https://docs.google.com/spreadsheets/d/1SX6NBoVAgQJ6U1MVXOaj8PK2l7WJ3RER9xtqwdhxkhw/edit?usp=sharing"",""สิงห์บุรี!I470"")"),0)</f>
        <v>0</v>
      </c>
      <c r="J575" s="199">
        <f ca="1">IFERROR(__xludf.DUMMYFUNCTION("IMPORTRANGE(""https://docs.google.com/spreadsheets/d/1SX6NBoVAgQJ6U1MVXOaj8PK2l7WJ3RER9xtqwdhxkhw/edit?usp=sharing"",""สิงห์บุรี!J470"")"),1)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IFERROR(__xludf.DUMMYFUNCTION("IMPORTRANGE(""https://docs.google.com/spreadsheets/d/1SX6NBoVAgQJ6U1MVXOaj8PK2l7WJ3RER9xtqwdhxkhw/edit?usp=sharing"",""สิงห์บุรี!I471"")"),0)</f>
        <v>0</v>
      </c>
      <c r="J576" s="199">
        <f ca="1">IFERROR(__xludf.DUMMYFUNCTION("IMPORTRANGE(""https://docs.google.com/spreadsheets/d/1SX6NBoVAgQJ6U1MVXOaj8PK2l7WJ3RER9xtqwdhxkhw/edit?usp=sharing"",""สิงห์บุรี!J471"")"),0)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IFERROR(__xludf.DUMMYFUNCTION("IMPORTRANGE(""https://docs.google.com/spreadsheets/d/1SX6NBoVAgQJ6U1MVXOaj8PK2l7WJ3RER9xtqwdhxkhw/edit?usp=sharing"",""สิงห์บุรี!I472"")"),0)</f>
        <v>0</v>
      </c>
      <c r="J577" s="190">
        <f ca="1">IFERROR(__xludf.DUMMYFUNCTION("IMPORTRANGE(""https://docs.google.com/spreadsheets/d/1SX6NBoVAgQJ6U1MVXOaj8PK2l7WJ3RER9xtqwdhxkhw/edit?usp=sharing"",""สิงห์บุรี!J472"")"),11)</f>
        <v>11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IFERROR(__xludf.DUMMYFUNCTION("IMPORTRANGE(""https://docs.google.com/spreadsheets/d/1SX6NBoVAgQJ6U1MVXOaj8PK2l7WJ3RER9xtqwdhxkhw/edit?usp=sharing"",""สิงห์บุรี!I473"")"),0)</f>
        <v>0</v>
      </c>
      <c r="J578" s="199">
        <f ca="1">IFERROR(__xludf.DUMMYFUNCTION("IMPORTRANGE(""https://docs.google.com/spreadsheets/d/1SX6NBoVAgQJ6U1MVXOaj8PK2l7WJ3RER9xtqwdhxkhw/edit?usp=sharing"",""สิงห์บุรี!J473"")"),0)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IFERROR(__xludf.DUMMYFUNCTION("IMPORTRANGE(""https://docs.google.com/spreadsheets/d/1SX6NBoVAgQJ6U1MVXOaj8PK2l7WJ3RER9xtqwdhxkhw/edit?usp=sharing"",""สิงห์บุรี!I474"")"),0)</f>
        <v>0</v>
      </c>
      <c r="J579" s="199">
        <f ca="1">IFERROR(__xludf.DUMMYFUNCTION("IMPORTRANGE(""https://docs.google.com/spreadsheets/d/1SX6NBoVAgQJ6U1MVXOaj8PK2l7WJ3RER9xtqwdhxkhw/edit?usp=sharing"",""สิงห์บุรี!J474"")"),0)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IFERROR(__xludf.DUMMYFUNCTION("IMPORTRANGE(""https://docs.google.com/spreadsheets/d/1SX6NBoVAgQJ6U1MVXOaj8PK2l7WJ3RER9xtqwdhxkhw/edit?usp=sharing"",""สิงห์บุรี!L476"")"),0)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IFERROR(__xludf.DUMMYFUNCTION("IMPORTRANGE(""https://docs.google.com/spreadsheets/d/1SX6NBoVAgQJ6U1MVXOaj8PK2l7WJ3RER9xtqwdhxkhw/edit?usp=sharing"",""สิงห์บุรี!M476"")"),0)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IFERROR(__xludf.DUMMYFUNCTION("IMPORTRANGE(""https://docs.google.com/spreadsheets/d/1SX6NBoVAgQJ6U1MVXOaj8PK2l7WJ3RER9xtqwdhxkhw/edit?usp=sharing"",""สิงห์บุรี!L477"")"),0)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IFERROR(__xludf.DUMMYFUNCTION("IMPORTRANGE(""https://docs.google.com/spreadsheets/d/1SX6NBoVAgQJ6U1MVXOaj8PK2l7WJ3RER9xtqwdhxkhw/edit?usp=sharing"",""สิงห์บุรี!M477"")"),0)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IFERROR(__xludf.DUMMYFUNCTION("IMPORTRANGE(""https://docs.google.com/spreadsheets/d/1SX6NBoVAgQJ6U1MVXOaj8PK2l7WJ3RER9xtqwdhxkhw/edit?usp=sharing"",""สิงห์บุรี!L478"")"),0)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IFERROR(__xludf.DUMMYFUNCTION("IMPORTRANGE(""https://docs.google.com/spreadsheets/d/1SX6NBoVAgQJ6U1MVXOaj8PK2l7WJ3RER9xtqwdhxkhw/edit?usp=sharing"",""สิงห์บุรี!M478"")"),0)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IFERROR(__xludf.DUMMYFUNCTION("IMPORTRANGE(""https://docs.google.com/spreadsheets/d/1SX6NBoVAgQJ6U1MVXOaj8PK2l7WJ3RER9xtqwdhxkhw/edit?usp=sharing"",""สิงห์บุรี!L479"")"),0)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IFERROR(__xludf.DUMMYFUNCTION("IMPORTRANGE(""https://docs.google.com/spreadsheets/d/1SX6NBoVAgQJ6U1MVXOaj8PK2l7WJ3RER9xtqwdhxkhw/edit?usp=sharing"",""สิงห์บุรี!M479"")"),0)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IFERROR(__xludf.DUMMYFUNCTION("IMPORTRANGE(""https://docs.google.com/spreadsheets/d/1SX6NBoVAgQJ6U1MVXOaj8PK2l7WJ3RER9xtqwdhxkhw/edit?usp=sharing"",""สิงห์บุรี!M480"")"),0)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IFERROR(__xludf.DUMMYFUNCTION("IMPORTRANGE(""https://docs.google.com/spreadsheets/d/1SX6NBoVAgQJ6U1MVXOaj8PK2l7WJ3RER9xtqwdhxkhw/edit?usp=sharing"",""สิงห์บุรี!M481"")"),0)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IFERROR(__xludf.DUMMYFUNCTION("IMPORTRANGE(""https://docs.google.com/spreadsheets/d/1SX6NBoVAgQJ6U1MVXOaj8PK2l7WJ3RER9xtqwdhxkhw/edit?usp=sharing"",""สิงห์บุรี!M482"")"),0)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IFERROR(__xludf.DUMMYFUNCTION("IMPORTRANGE(""https://docs.google.com/spreadsheets/d/1SX6NBoVAgQJ6U1MVXOaj8PK2l7WJ3RER9xtqwdhxkhw/edit?usp=sharing"",""สิงห์บุรี!M483"")"),0)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IFERROR(__xludf.DUMMYFUNCTION("IMPORTRANGE(""https://docs.google.com/spreadsheets/d/1SX6NBoVAgQJ6U1MVXOaj8PK2l7WJ3RER9xtqwdhxkhw/edit?usp=sharing"",""สิงห์บุรี!I484"")"),0)</f>
        <v>0</v>
      </c>
      <c r="J589" s="189">
        <f ca="1">IFERROR(__xludf.DUMMYFUNCTION("IMPORTRANGE(""https://docs.google.com/spreadsheets/d/1SX6NBoVAgQJ6U1MVXOaj8PK2l7WJ3RER9xtqwdhxkhw/edit?usp=sharing"",""สิงห์บุรี!J484"")"),0)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9">
        <f ca="1">IFERROR(__xludf.DUMMYFUNCTION("IMPORTRANGE(""https://docs.google.com/spreadsheets/d/1SX6NBoVAgQJ6U1MVXOaj8PK2l7WJ3RER9xtqwdhxkhw/edit?usp=sharing"",""สิงห์บุรี!J485"")"),0)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IFERROR(__xludf.DUMMYFUNCTION("IMPORTRANGE(""https://docs.google.com/spreadsheets/d/1SX6NBoVAgQJ6U1MVXOaj8PK2l7WJ3RER9xtqwdhxkhw/edit?usp=sharing"",""สิงห์บุรี!I486"")"),0)</f>
        <v>0</v>
      </c>
      <c r="J591" s="189">
        <f ca="1">IFERROR(__xludf.DUMMYFUNCTION("IMPORTRANGE(""https://docs.google.com/spreadsheets/d/1SX6NBoVAgQJ6U1MVXOaj8PK2l7WJ3RER9xtqwdhxkhw/edit?usp=sharing"",""สิงห์บุรี!J486"")"),0)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9">
        <f ca="1">IFERROR(__xludf.DUMMYFUNCTION("IMPORTRANGE(""https://docs.google.com/spreadsheets/d/1SX6NBoVAgQJ6U1MVXOaj8PK2l7WJ3RER9xtqwdhxkhw/edit?usp=sharing"",""สิงห์บุรี!J487"")"),0)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IFERROR(__xludf.DUMMYFUNCTION("IMPORTRANGE(""https://docs.google.com/spreadsheets/d/1SX6NBoVAgQJ6U1MVXOaj8PK2l7WJ3RER9xtqwdhxkhw/edit?usp=sharing"",""สิงห์บุรี!I488"")"),0)</f>
        <v>0</v>
      </c>
      <c r="J593" s="189">
        <f ca="1">IFERROR(__xludf.DUMMYFUNCTION("IMPORTRANGE(""https://docs.google.com/spreadsheets/d/1SX6NBoVAgQJ6U1MVXOaj8PK2l7WJ3RER9xtqwdhxkhw/edit?usp=sharing"",""สิงห์บุรี!J488"")"),0)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9">
        <f ca="1">IFERROR(__xludf.DUMMYFUNCTION("IMPORTRANGE(""https://docs.google.com/spreadsheets/d/1SX6NBoVAgQJ6U1MVXOaj8PK2l7WJ3RER9xtqwdhxkhw/edit?usp=sharing"",""สิงห์บุรี!J489"")"),0)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IFERROR(__xludf.DUMMYFUNCTION("IMPORTRANGE(""https://docs.google.com/spreadsheets/d/1SX6NBoVAgQJ6U1MVXOaj8PK2l7WJ3RER9xtqwdhxkhw/edit?usp=sharing"",""สิงห์บุรี!I490"")"),0)</f>
        <v>0</v>
      </c>
      <c r="J595" s="189">
        <f ca="1">IFERROR(__xludf.DUMMYFUNCTION("IMPORTRANGE(""https://docs.google.com/spreadsheets/d/1SX6NBoVAgQJ6U1MVXOaj8PK2l7WJ3RER9xtqwdhxkhw/edit?usp=sharing"",""สิงห์บุรี!J490"")"),0)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7">
        <f ca="1">IFERROR(__xludf.DUMMYFUNCTION("IMPORTRANGE(""https://docs.google.com/spreadsheets/d/1SX6NBoVAgQJ6U1MVXOaj8PK2l7WJ3RER9xtqwdhxkhw/edit?usp=sharing"",""สิงห์บุรี!J492"")"),0)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IFERROR(__xludf.DUMMYFUNCTION("IMPORTRANGE(""https://docs.google.com/spreadsheets/d/1SX6NBoVAgQJ6U1MVXOaj8PK2l7WJ3RER9xtqwdhxkhw/edit?usp=sharing"",""สิงห์บุรี!L493"")"),0)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IFERROR(__xludf.DUMMYFUNCTION("IMPORTRANGE(""https://docs.google.com/spreadsheets/d/1SX6NBoVAgQJ6U1MVXOaj8PK2l7WJ3RER9xtqwdhxkhw/edit?usp=sharing"",""สิงห์บุรี!M493"")"),0)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IFERROR(__xludf.DUMMYFUNCTION("IMPORTRANGE(""https://docs.google.com/spreadsheets/d/1SX6NBoVAgQJ6U1MVXOaj8PK2l7WJ3RER9xtqwdhxkhw/edit?usp=sharing"",""สิงห์บุรี!L494"")"),7300)</f>
        <v>7300</v>
      </c>
      <c r="M599" s="167"/>
      <c r="N599" s="170">
        <f ca="1">IFERROR(__xludf.DUMMYFUNCTION("IMPORTRANGE(""https://docs.google.com/spreadsheets/d/1SX6NBoVAgQJ6U1MVXOaj8PK2l7WJ3RER9xtqwdhxkhw/edit?usp=sharing"",""สิงห์บุรี!M494"")"),1800)</f>
        <v>1800</v>
      </c>
      <c r="O599" s="170">
        <f t="shared" ca="1" si="126"/>
        <v>24.657534246575342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IFERROR(__xludf.DUMMYFUNCTION("IMPORTRANGE(""https://docs.google.com/spreadsheets/d/1SX6NBoVAgQJ6U1MVXOaj8PK2l7WJ3RER9xtqwdhxkhw/edit?usp=sharing"",""สิงห์บุรี!L495"")"),0)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IFERROR(__xludf.DUMMYFUNCTION("IMPORTRANGE(""https://docs.google.com/spreadsheets/d/1SX6NBoVAgQJ6U1MVXOaj8PK2l7WJ3RER9xtqwdhxkhw/edit?usp=sharing"",""สิงห์บุรี!M495"")"),0)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IFERROR(__xludf.DUMMYFUNCTION("IMPORTRANGE(""https://docs.google.com/spreadsheets/d/1SX6NBoVAgQJ6U1MVXOaj8PK2l7WJ3RER9xtqwdhxkhw/edit?usp=sharing"",""สิงห์บุรี!L496"")"),7300)</f>
        <v>7300</v>
      </c>
      <c r="M601" s="170"/>
      <c r="N601" s="170">
        <f ca="1">IFERROR(__xludf.DUMMYFUNCTION("IMPORTRANGE(""https://docs.google.com/spreadsheets/d/1SX6NBoVAgQJ6U1MVXOaj8PK2l7WJ3RER9xtqwdhxkhw/edit?usp=sharing"",""สิงห์บุรี!M496"")"),1800)</f>
        <v>1800</v>
      </c>
      <c r="O601" s="170">
        <f t="shared" ca="1" si="126"/>
        <v>24.657534246575342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IFERROR(__xludf.DUMMYFUNCTION("IMPORTRANGE(""https://docs.google.com/spreadsheets/d/1SX6NBoVAgQJ6U1MVXOaj8PK2l7WJ3RER9xtqwdhxkhw/edit?usp=sharing"",""สิงห์บุรี!M497"")"),0)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IFERROR(__xludf.DUMMYFUNCTION("IMPORTRANGE(""https://docs.google.com/spreadsheets/d/1SX6NBoVAgQJ6U1MVXOaj8PK2l7WJ3RER9xtqwdhxkhw/edit?usp=sharing"",""สิงห์บุรี!M498"")"),0)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IFERROR(__xludf.DUMMYFUNCTION("IMPORTRANGE(""https://docs.google.com/spreadsheets/d/1SX6NBoVAgQJ6U1MVXOaj8PK2l7WJ3RER9xtqwdhxkhw/edit?usp=sharing"",""สิงห์บุรี!M500"")"),1800)</f>
        <v>1800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IFERROR(__xludf.DUMMYFUNCTION("IMPORTRANGE(""https://docs.google.com/spreadsheets/d/1SX6NBoVAgQJ6U1MVXOaj8PK2l7WJ3RER9xtqwdhxkhw/edit?usp=sharing"",""สิงห์บุรี!J502"")"),0)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IFERROR(__xludf.DUMMYFUNCTION("IMPORTRANGE(""https://docs.google.com/spreadsheets/d/1SX6NBoVAgQJ6U1MVXOaj8PK2l7WJ3RER9xtqwdhxkhw/edit?usp=sharing"",""สิงห์บุรี!J503"")"),0)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IFERROR(__xludf.DUMMYFUNCTION("IMPORTRANGE(""https://docs.google.com/spreadsheets/d/1SX6NBoVAgQJ6U1MVXOaj8PK2l7WJ3RER9xtqwdhxkhw/edit?usp=sharing"",""สิงห์บุรี!I506"")"),100)</f>
        <v>100</v>
      </c>
      <c r="J611" s="164">
        <f ca="1">IFERROR(__xludf.DUMMYFUNCTION("IMPORTRANGE(""https://docs.google.com/spreadsheets/d/1SX6NBoVAgQJ6U1MVXOaj8PK2l7WJ3RER9xtqwdhxkhw/edit?usp=sharing"",""สิงห์บุรี!J506"")"),0)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IFERROR(__xludf.DUMMYFUNCTION("IMPORTRANGE(""https://docs.google.com/spreadsheets/d/1SX6NBoVAgQJ6U1MVXOaj8PK2l7WJ3RER9xtqwdhxkhw/edit?usp=sharing"",""สิงห์บุรี!I507"")"),0)</f>
        <v>0</v>
      </c>
      <c r="J612" s="199">
        <f ca="1">IFERROR(__xludf.DUMMYFUNCTION("IMPORTRANGE(""https://docs.google.com/spreadsheets/d/1SX6NBoVAgQJ6U1MVXOaj8PK2l7WJ3RER9xtqwdhxkhw/edit?usp=sharing"",""สิงห์บุรี!J507"")"),157)</f>
        <v>157</v>
      </c>
      <c r="K612" s="165">
        <f t="shared" ca="1" si="127"/>
        <v>157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IFERROR(__xludf.DUMMYFUNCTION("IMPORTRANGE(""https://docs.google.com/spreadsheets/d/1SX6NBoVAgQJ6U1MVXOaj8PK2l7WJ3RER9xtqwdhxkhw/edit?usp=sharing"",""สิงห์บุรี!I508"")"),0)</f>
        <v>0</v>
      </c>
      <c r="J613" s="199">
        <f ca="1">IFERROR(__xludf.DUMMYFUNCTION("IMPORTRANGE(""https://docs.google.com/spreadsheets/d/1SX6NBoVAgQJ6U1MVXOaj8PK2l7WJ3RER9xtqwdhxkhw/edit?usp=sharing"",""สิงห์บุรี!J508"")"),157)</f>
        <v>157</v>
      </c>
      <c r="K613" s="165">
        <f t="shared" ca="1" si="127"/>
        <v>157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IFERROR(__xludf.DUMMYFUNCTION("IMPORTRANGE(""https://docs.google.com/spreadsheets/d/1SX6NBoVAgQJ6U1MVXOaj8PK2l7WJ3RER9xtqwdhxkhw/edit?usp=sharing"",""สิงห์บุรี!I509"")"),0)</f>
        <v>0</v>
      </c>
      <c r="J614" s="199">
        <f ca="1">IFERROR(__xludf.DUMMYFUNCTION("IMPORTRANGE(""https://docs.google.com/spreadsheets/d/1SX6NBoVAgQJ6U1MVXOaj8PK2l7WJ3RER9xtqwdhxkhw/edit?usp=sharing"",""สิงห์บุรี!J509"")"),157)</f>
        <v>157</v>
      </c>
      <c r="K614" s="165">
        <f t="shared" ca="1" si="127"/>
        <v>157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IFERROR(__xludf.DUMMYFUNCTION("IMPORTRANGE(""https://docs.google.com/spreadsheets/d/1SX6NBoVAgQJ6U1MVXOaj8PK2l7WJ3RER9xtqwdhxkhw/edit?usp=sharing"",""สิงห์บุรี!I510"")"),0)</f>
        <v>0</v>
      </c>
      <c r="J615" s="199">
        <f ca="1">IFERROR(__xludf.DUMMYFUNCTION("IMPORTRANGE(""https://docs.google.com/spreadsheets/d/1SX6NBoVAgQJ6U1MVXOaj8PK2l7WJ3RER9xtqwdhxkhw/edit?usp=sharing"",""สิงห์บุรี!J510"")"),157)</f>
        <v>157</v>
      </c>
      <c r="K615" s="165">
        <f t="shared" ca="1" si="127"/>
        <v>157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IFERROR(__xludf.DUMMYFUNCTION("IMPORTRANGE(""https://docs.google.com/spreadsheets/d/1SX6NBoVAgQJ6U1MVXOaj8PK2l7WJ3RER9xtqwdhxkhw/edit?usp=sharing"",""สิงห์บุรี!I511"")"),0)</f>
        <v>0</v>
      </c>
      <c r="J616" s="199">
        <f ca="1">IFERROR(__xludf.DUMMYFUNCTION("IMPORTRANGE(""https://docs.google.com/spreadsheets/d/1SX6NBoVAgQJ6U1MVXOaj8PK2l7WJ3RER9xtqwdhxkhw/edit?usp=sharing"",""สิงห์บุรี!J511"")"),0)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IFERROR(__xludf.DUMMYFUNCTION("IMPORTRANGE(""https://docs.google.com/spreadsheets/d/1SX6NBoVAgQJ6U1MVXOaj8PK2l7WJ3RER9xtqwdhxkhw/edit?usp=sharing"",""สิงห์บุรี!I512"")"),0)</f>
        <v>0</v>
      </c>
      <c r="J617" s="189">
        <f ca="1">IFERROR(__xludf.DUMMYFUNCTION("IMPORTRANGE(""https://docs.google.com/spreadsheets/d/1SX6NBoVAgQJ6U1MVXOaj8PK2l7WJ3RER9xtqwdhxkhw/edit?usp=sharing"",""สิงห์บุรี!J512"")"),0)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IFERROR(__xludf.DUMMYFUNCTION("IMPORTRANGE(""https://docs.google.com/spreadsheets/d/1SX6NBoVAgQJ6U1MVXOaj8PK2l7WJ3RER9xtqwdhxkhw/edit?usp=sharing"",""สิงห์บุรี!I513"")"),0)</f>
        <v>0</v>
      </c>
      <c r="J618" s="190">
        <f ca="1">IFERROR(__xludf.DUMMYFUNCTION("IMPORTRANGE(""https://docs.google.com/spreadsheets/d/1SX6NBoVAgQJ6U1MVXOaj8PK2l7WJ3RER9xtqwdhxkhw/edit?usp=sharing"",""สิงห์บุรี!J513"")"),0)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IFERROR(__xludf.DUMMYFUNCTION("IMPORTRANGE(""https://docs.google.com/spreadsheets/d/1SX6NBoVAgQJ6U1MVXOaj8PK2l7WJ3RER9xtqwdhxkhw/edit?usp=sharing"",""สิงห์บุรี!I514"")"),0)</f>
        <v>0</v>
      </c>
      <c r="J619" s="190">
        <f ca="1">IFERROR(__xludf.DUMMYFUNCTION("IMPORTRANGE(""https://docs.google.com/spreadsheets/d/1SX6NBoVAgQJ6U1MVXOaj8PK2l7WJ3RER9xtqwdhxkhw/edit?usp=sharing"",""สิงห์บุรี!J514"")"),0)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IFERROR(__xludf.DUMMYFUNCTION("IMPORTRANGE(""https://docs.google.com/spreadsheets/d/1SX6NBoVAgQJ6U1MVXOaj8PK2l7WJ3RER9xtqwdhxkhw/edit?usp=sharing"",""สิงห์บุรี!I515"")"),925)</f>
        <v>925</v>
      </c>
      <c r="J620" s="204">
        <f ca="1">IFERROR(__xludf.DUMMYFUNCTION("IMPORTRANGE(""https://docs.google.com/spreadsheets/d/1SX6NBoVAgQJ6U1MVXOaj8PK2l7WJ3RER9xtqwdhxkhw/edit?usp=sharing"",""สิงห์บุรี!J515"")"),0)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IFERROR(__xludf.DUMMYFUNCTION("IMPORTRANGE(""https://docs.google.com/spreadsheets/d/1SX6NBoVAgQJ6U1MVXOaj8PK2l7WJ3RER9xtqwdhxkhw/edit?usp=sharing"",""สิงห์บุรี!I516"")"),0)</f>
        <v>0</v>
      </c>
      <c r="J621" s="204">
        <f ca="1">IFERROR(__xludf.DUMMYFUNCTION("IMPORTRANGE(""https://docs.google.com/spreadsheets/d/1SX6NBoVAgQJ6U1MVXOaj8PK2l7WJ3RER9xtqwdhxkhw/edit?usp=sharing"",""สิงห์บุรี!J516"")"),0)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IFERROR(__xludf.DUMMYFUNCTION("IMPORTRANGE(""https://docs.google.com/spreadsheets/d/1SX6NBoVAgQJ6U1MVXOaj8PK2l7WJ3RER9xtqwdhxkhw/edit?usp=sharing"",""สิงห์บุรี!I517"")"),0)</f>
        <v>0</v>
      </c>
      <c r="J622" s="190">
        <f ca="1">IFERROR(__xludf.DUMMYFUNCTION("IMPORTRANGE(""https://docs.google.com/spreadsheets/d/1SX6NBoVAgQJ6U1MVXOaj8PK2l7WJ3RER9xtqwdhxkhw/edit?usp=sharing"",""สิงห์บุรี!J517"")"),0)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IFERROR(__xludf.DUMMYFUNCTION("IMPORTRANGE(""https://docs.google.com/spreadsheets/d/1SX6NBoVAgQJ6U1MVXOaj8PK2l7WJ3RER9xtqwdhxkhw/edit?usp=sharing"",""สิงห์บุรี!I518"")"),0)</f>
        <v>0</v>
      </c>
      <c r="J623" s="190">
        <f ca="1">IFERROR(__xludf.DUMMYFUNCTION("IMPORTRANGE(""https://docs.google.com/spreadsheets/d/1SX6NBoVAgQJ6U1MVXOaj8PK2l7WJ3RER9xtqwdhxkhw/edit?usp=sharing"",""สิงห์บุรี!J518"")"),0)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IFERROR(__xludf.DUMMYFUNCTION("IMPORTRANGE(""https://docs.google.com/spreadsheets/d/1SX6NBoVAgQJ6U1MVXOaj8PK2l7WJ3RER9xtqwdhxkhw/edit?usp=sharing"",""สิงห์บุรี!I519"")"),0)</f>
        <v>0</v>
      </c>
      <c r="J624" s="189">
        <f ca="1">IFERROR(__xludf.DUMMYFUNCTION("IMPORTRANGE(""https://docs.google.com/spreadsheets/d/1SX6NBoVAgQJ6U1MVXOaj8PK2l7WJ3RER9xtqwdhxkhw/edit?usp=sharing"",""สิงห์บุรี!J519"")"),0)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IFERROR(__xludf.DUMMYFUNCTION("IMPORTRANGE(""https://docs.google.com/spreadsheets/d/1SX6NBoVAgQJ6U1MVXOaj8PK2l7WJ3RER9xtqwdhxkhw/edit?usp=sharing"",""สิงห์บุรี!I520"")"),0)</f>
        <v>0</v>
      </c>
      <c r="J625" s="190">
        <f ca="1">IFERROR(__xludf.DUMMYFUNCTION("IMPORTRANGE(""https://docs.google.com/spreadsheets/d/1SX6NBoVAgQJ6U1MVXOaj8PK2l7WJ3RER9xtqwdhxkhw/edit?usp=sharing"",""สิงห์บุรี!J520"")"),0)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IFERROR(__xludf.DUMMYFUNCTION("IMPORTRANGE(""https://docs.google.com/spreadsheets/d/1SX6NBoVAgQJ6U1MVXOaj8PK2l7WJ3RER9xtqwdhxkhw/edit?usp=sharing"",""สิงห์บุรี!I521"")"),0)</f>
        <v>0</v>
      </c>
      <c r="J626" s="190">
        <f ca="1">IFERROR(__xludf.DUMMYFUNCTION("IMPORTRANGE(""https://docs.google.com/spreadsheets/d/1SX6NBoVAgQJ6U1MVXOaj8PK2l7WJ3RER9xtqwdhxkhw/edit?usp=sharing"",""สิงห์บุรี!J521"")"),0)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IFERROR(__xludf.DUMMYFUNCTION("IMPORTRANGE(""https://docs.google.com/spreadsheets/d/1SX6NBoVAgQJ6U1MVXOaj8PK2l7WJ3RER9xtqwdhxkhw/edit?usp=sharing"",""สิงห์บุรี!I523"")"),520000)</f>
        <v>520000</v>
      </c>
      <c r="J628" s="341">
        <f ca="1">IFERROR(__xludf.DUMMYFUNCTION("IMPORTRANGE(""https://docs.google.com/spreadsheets/d/1SX6NBoVAgQJ6U1MVXOaj8PK2l7WJ3RER9xtqwdhxkhw/edit?usp=sharing"",""สิงห์บุรี!J523"")"),520000)</f>
        <v>520000</v>
      </c>
      <c r="K628" s="342">
        <f t="shared" ref="K628:K635" ca="1" si="129">IF(I628&gt;0,J628*100/I628,0)</f>
        <v>100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IFERROR(__xludf.DUMMYFUNCTION("IMPORTRANGE(""https://docs.google.com/spreadsheets/d/1SX6NBoVAgQJ6U1MVXOaj8PK2l7WJ3RER9xtqwdhxkhw/edit?usp=sharing"",""สิงห์บุรี!I524"")"),18)</f>
        <v>18</v>
      </c>
      <c r="J629" s="341">
        <f ca="1">IFERROR(__xludf.DUMMYFUNCTION("IMPORTRANGE(""https://docs.google.com/spreadsheets/d/1SX6NBoVAgQJ6U1MVXOaj8PK2l7WJ3RER9xtqwdhxkhw/edit?usp=sharing"",""สิงห์บุรี!J524"")"),18)</f>
        <v>18</v>
      </c>
      <c r="K629" s="342">
        <f t="shared" ca="1" si="129"/>
        <v>100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IFERROR(__xludf.DUMMYFUNCTION("IMPORTRANGE(""https://docs.google.com/spreadsheets/d/1SX6NBoVAgQJ6U1MVXOaj8PK2l7WJ3RER9xtqwdhxkhw/edit?usp=sharing"",""สิงห์บุรี!I525"")"),0)</f>
        <v>0</v>
      </c>
      <c r="J630" s="341">
        <f ca="1">IFERROR(__xludf.DUMMYFUNCTION("IMPORTRANGE(""https://docs.google.com/spreadsheets/d/1SX6NBoVAgQJ6U1MVXOaj8PK2l7WJ3RER9xtqwdhxkhw/edit?usp=sharing"",""สิงห์บุรี!J525"")"),0)</f>
        <v>0</v>
      </c>
      <c r="K630" s="342">
        <f t="shared" ca="1" si="129"/>
        <v>0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IFERROR(__xludf.DUMMYFUNCTION("IMPORTRANGE(""https://docs.google.com/spreadsheets/d/1SX6NBoVAgQJ6U1MVXOaj8PK2l7WJ3RER9xtqwdhxkhw/edit?usp=sharing"",""สิงห์บุรี!I526"")"),0)</f>
        <v>0</v>
      </c>
      <c r="J631" s="341">
        <f ca="1">IFERROR(__xludf.DUMMYFUNCTION("IMPORTRANGE(""https://docs.google.com/spreadsheets/d/1SX6NBoVAgQJ6U1MVXOaj8PK2l7WJ3RER9xtqwdhxkhw/edit?usp=sharing"",""สิงห์บุรี!J526"")"),0)</f>
        <v>0</v>
      </c>
      <c r="K631" s="342">
        <f t="shared" ca="1" si="129"/>
        <v>0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1">
        <f ca="1">IFERROR(__xludf.DUMMYFUNCTION("IMPORTRANGE(""https://docs.google.com/spreadsheets/d/1SX6NBoVAgQJ6U1MVXOaj8PK2l7WJ3RER9xtqwdhxkhw/edit?usp=sharing"",""สิงห์บุรี!J527"")"),9677.06)</f>
        <v>9677.06</v>
      </c>
      <c r="K632" s="342">
        <f t="shared" ca="1" si="129"/>
        <v>13.937072570406841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IFERROR(__xludf.DUMMYFUNCTION("IMPORTRANGE(""https://docs.google.com/spreadsheets/d/1SX6NBoVAgQJ6U1MVXOaj8PK2l7WJ3RER9xtqwdhxkhw/edit?usp=sharing"",""สิงห์บุรี!I528"")"),25)</f>
        <v>25</v>
      </c>
      <c r="J633" s="341">
        <f ca="1">IFERROR(__xludf.DUMMYFUNCTION("IMPORTRANGE(""https://docs.google.com/spreadsheets/d/1SX6NBoVAgQJ6U1MVXOaj8PK2l7WJ3RER9xtqwdhxkhw/edit?usp=sharing"",""สิงห์บุรี!J528"")"),4)</f>
        <v>4</v>
      </c>
      <c r="K633" s="342">
        <f t="shared" ca="1" si="129"/>
        <v>16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IFERROR(__xludf.DUMMYFUNCTION("IMPORTRANGE(""https://docs.google.com/spreadsheets/d/1SX6NBoVAgQJ6U1MVXOaj8PK2l7WJ3RER9xtqwdhxkhw/edit?usp=sharing"",""สิงห์บุรี!I529"")"),520000)</f>
        <v>520000</v>
      </c>
      <c r="J634" s="341">
        <f ca="1">IFERROR(__xludf.DUMMYFUNCTION("IMPORTRANGE(""https://docs.google.com/spreadsheets/d/1SX6NBoVAgQJ6U1MVXOaj8PK2l7WJ3RER9xtqwdhxkhw/edit?usp=sharing"",""สิงห์บุรี!J529"")"),520000)</f>
        <v>520000</v>
      </c>
      <c r="K634" s="342">
        <f t="shared" ca="1" si="129"/>
        <v>100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IFERROR(__xludf.DUMMYFUNCTION("IMPORTRANGE(""https://docs.google.com/spreadsheets/d/1SX6NBoVAgQJ6U1MVXOaj8PK2l7WJ3RER9xtqwdhxkhw/edit?usp=sharing"",""สิงห์บุรี!I530"")"),19)</f>
        <v>19</v>
      </c>
      <c r="J635" s="504">
        <f ca="1">IFERROR(__xludf.DUMMYFUNCTION("IMPORTRANGE(""https://docs.google.com/spreadsheets/d/1SX6NBoVAgQJ6U1MVXOaj8PK2l7WJ3RER9xtqwdhxkhw/edit?usp=sharing"",""สิงห์บุรี!J530"")"),17)</f>
        <v>17</v>
      </c>
      <c r="K635" s="486">
        <f t="shared" ca="1" si="129"/>
        <v>89.473684210526315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4257812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276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7158250</v>
      </c>
      <c r="M8" s="23">
        <f t="shared" ca="1" si="0"/>
        <v>3174126</v>
      </c>
      <c r="N8" s="23">
        <f t="shared" ca="1" si="0"/>
        <v>3529608.9299999997</v>
      </c>
      <c r="O8" s="22">
        <f t="shared" ref="O8:O16" ca="1" si="1">IF(L8&gt;0,N8*100/L8,0)</f>
        <v>49.308265707400551</v>
      </c>
      <c r="P8" s="22">
        <f t="shared" ref="P8:P16" ca="1" si="2">IF(M8&gt;0,N8*100/M8,0)</f>
        <v>111.19939567616409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7158250</v>
      </c>
      <c r="M10" s="30">
        <f t="shared" ca="1" si="4"/>
        <v>3174126</v>
      </c>
      <c r="N10" s="30">
        <f t="shared" ca="1" si="4"/>
        <v>3529608.9299999997</v>
      </c>
      <c r="O10" s="29">
        <f t="shared" ca="1" si="1"/>
        <v>49.308265707400551</v>
      </c>
      <c r="P10" s="29">
        <f t="shared" ca="1" si="2"/>
        <v>111.19939567616409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6225250</v>
      </c>
      <c r="M12" s="38">
        <f t="shared" ca="1" si="6"/>
        <v>2241126</v>
      </c>
      <c r="N12" s="38">
        <f t="shared" ca="1" si="6"/>
        <v>2596608.9299999997</v>
      </c>
      <c r="O12" s="38">
        <f t="shared" ca="1" si="1"/>
        <v>41.710918115738316</v>
      </c>
      <c r="P12" s="38">
        <f t="shared" ca="1" si="2"/>
        <v>115.86180027361245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3873550</v>
      </c>
      <c r="M14" s="38">
        <f t="shared" si="8"/>
        <v>0</v>
      </c>
      <c r="N14" s="38">
        <f t="shared" ca="1" si="8"/>
        <v>673507.92999999993</v>
      </c>
      <c r="O14" s="38">
        <f t="shared" ca="1" si="1"/>
        <v>17.387356042906379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933000</v>
      </c>
      <c r="M16" s="38">
        <f t="shared" ca="1" si="10"/>
        <v>933000</v>
      </c>
      <c r="N16" s="38">
        <f t="shared" ca="1" si="10"/>
        <v>933000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4527855</v>
      </c>
      <c r="M18" s="23">
        <f t="shared" ca="1" si="11"/>
        <v>3174126</v>
      </c>
      <c r="N18" s="23">
        <f t="shared" ca="1" si="11"/>
        <v>2856101</v>
      </c>
      <c r="O18" s="22">
        <f t="shared" ref="O18:O20" ca="1" si="12">IF(L18&gt;0,N18*100/L18,0)</f>
        <v>63.078455471741037</v>
      </c>
      <c r="P18" s="22">
        <f t="shared" ref="P18:P26" ca="1" si="13">IF(M18&gt;0,N18*100/M18,0)</f>
        <v>89.980706499994014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4527855</v>
      </c>
      <c r="M20" s="30">
        <f t="shared" ca="1" si="15"/>
        <v>3174126</v>
      </c>
      <c r="N20" s="30">
        <f t="shared" ca="1" si="15"/>
        <v>2856101</v>
      </c>
      <c r="O20" s="29">
        <f t="shared" ca="1" si="12"/>
        <v>63.078455471741037</v>
      </c>
      <c r="P20" s="29">
        <f t="shared" ca="1" si="13"/>
        <v>89.980706499994014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3594855</v>
      </c>
      <c r="M22" s="41">
        <f t="shared" ca="1" si="18"/>
        <v>2241126</v>
      </c>
      <c r="N22" s="38">
        <f t="shared" ca="1" si="18"/>
        <v>1923101</v>
      </c>
      <c r="O22" s="38">
        <f t="shared" ca="1" si="17"/>
        <v>53.495926817632423</v>
      </c>
      <c r="P22" s="38">
        <f t="shared" ca="1" si="13"/>
        <v>85.809588572887023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1243155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933000</v>
      </c>
      <c r="M26" s="49">
        <f t="shared" ca="1" si="22"/>
        <v>933000</v>
      </c>
      <c r="N26" s="49">
        <f t="shared" ca="1" si="22"/>
        <v>933000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2630395</v>
      </c>
      <c r="M28" s="23">
        <f t="shared" si="23"/>
        <v>0</v>
      </c>
      <c r="N28" s="23">
        <f t="shared" ca="1" si="23"/>
        <v>673507.92999999993</v>
      </c>
      <c r="O28" s="22">
        <f t="shared" ref="O28:O30" ca="1" si="24">IF(L28&gt;0,N28*100/L28,0)</f>
        <v>25.60482094894493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2630395</v>
      </c>
      <c r="M30" s="30">
        <f t="shared" si="27"/>
        <v>0</v>
      </c>
      <c r="N30" s="30">
        <f t="shared" ca="1" si="27"/>
        <v>673507.92999999993</v>
      </c>
      <c r="O30" s="29">
        <f t="shared" ca="1" si="24"/>
        <v>25.60482094894493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2630395</v>
      </c>
      <c r="M32" s="38">
        <f t="shared" si="30"/>
        <v>0</v>
      </c>
      <c r="N32" s="38">
        <f t="shared" ca="1" si="30"/>
        <v>673507.92999999993</v>
      </c>
      <c r="O32" s="38">
        <f t="shared" ca="1" si="29"/>
        <v>25.60482094894493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2630395</v>
      </c>
      <c r="M34" s="38">
        <f t="shared" si="32"/>
        <v>0</v>
      </c>
      <c r="N34" s="38">
        <f t="shared" ca="1" si="32"/>
        <v>673507.92999999993</v>
      </c>
      <c r="O34" s="38">
        <f t="shared" ca="1" si="29"/>
        <v>25.60482094894493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4527855</v>
      </c>
      <c r="M37" s="54">
        <f t="shared" ca="1" si="33"/>
        <v>3174126</v>
      </c>
      <c r="N37" s="54">
        <f t="shared" ca="1" si="33"/>
        <v>2856101</v>
      </c>
      <c r="O37" s="55">
        <f t="shared" ca="1" si="29"/>
        <v>63.078455471741037</v>
      </c>
      <c r="P37" s="55">
        <f t="shared" ca="1" si="25"/>
        <v>89.980706499994014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851300</v>
      </c>
      <c r="M41" s="78">
        <f t="shared" ca="1" si="34"/>
        <v>425600</v>
      </c>
      <c r="N41" s="78">
        <f t="shared" ca="1" si="34"/>
        <v>365608</v>
      </c>
      <c r="O41" s="77">
        <f t="shared" ref="O41:O43" ca="1" si="35">IF(L41&gt;0,N41*100/L41,0)</f>
        <v>42.947022201339131</v>
      </c>
      <c r="P41" s="77">
        <f t="shared" ref="P41:P43" ca="1" si="36">IF(M41&gt;0,N41*100/M41,0)</f>
        <v>85.904135338345867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851300</v>
      </c>
      <c r="M43" s="78">
        <f t="shared" ca="1" si="38"/>
        <v>425600</v>
      </c>
      <c r="N43" s="78">
        <f t="shared" ca="1" si="38"/>
        <v>365608</v>
      </c>
      <c r="O43" s="77">
        <f t="shared" ca="1" si="35"/>
        <v>42.947022201339131</v>
      </c>
      <c r="P43" s="77">
        <f t="shared" ca="1" si="36"/>
        <v>85.904135338345867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IFERROR(__xludf.DUMMYFUNCTION("IMPORTRANGE(""https://docs.google.com/spreadsheets/d/1Yj_ptqi66GCucihVvJfMjLAmec39IyEx_6qawtMGysU/edit?usp=sharing"",""สบก!Q78"")"),425600)</f>
        <v>425600</v>
      </c>
      <c r="N45" s="49">
        <f ca="1">IFERROR(__xludf.DUMMYFUNCTION("IMPORTRANGE(""https://docs.google.com/spreadsheets/d/1Yj_ptqi66GCucihVvJfMjLAmec39IyEx_6qawtMGysU/edit?usp=sharing"",""สบก!R78"")"),365608)</f>
        <v>365608</v>
      </c>
      <c r="O45" s="38">
        <f ca="1">IF(L45&gt;0,N45*100/L45,0)</f>
        <v>42.947022201339131</v>
      </c>
      <c r="P45" s="38">
        <f ca="1">IF(M45&gt;0,N45*100/M45,0)</f>
        <v>85.904135338345867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IFERROR(__xludf.DUMMYFUNCTION("IMPORTRANGE(""https://docs.google.com/spreadsheets/d/1Yj_ptqi66GCucihVvJfMjLAmec39IyEx_6qawtMGysU/edit?usp=sharing"",""สบก!O78"")"),0)</f>
        <v>0</v>
      </c>
      <c r="M49" s="49"/>
      <c r="N49" s="49">
        <f ca="1">IFERROR(__xludf.DUMMYFUNCTION("IMPORTRANGE(""https://docs.google.com/spreadsheets/d/1Yj_ptqi66GCucihVvJfMjLAmec39IyEx_6qawtMGysU/edit?usp=sharing"",""สบก!S78"")"),0)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496181</v>
      </c>
      <c r="N53" s="121">
        <f t="shared" ca="1" si="39"/>
        <v>435431</v>
      </c>
      <c r="O53" s="120">
        <f t="shared" ref="O53:O55" ca="1" si="40">IF(L53&gt;0,N53*100/L53,0)</f>
        <v>72.571833333333331</v>
      </c>
      <c r="P53" s="120">
        <f t="shared" ref="P53:P55" ca="1" si="41">IF(M53&gt;0,N53*100/M53,0)</f>
        <v>87.756484024982825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496181</v>
      </c>
      <c r="N55" s="121">
        <f t="shared" ca="1" si="43"/>
        <v>435431</v>
      </c>
      <c r="O55" s="120">
        <f t="shared" ca="1" si="40"/>
        <v>72.571833333333331</v>
      </c>
      <c r="P55" s="120">
        <f t="shared" ca="1" si="41"/>
        <v>87.756484024982825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IFERROR(__xludf.DUMMYFUNCTION("IMPORTRANGE(""https://docs.google.com/spreadsheets/d/1Yj_ptqi66GCucihVvJfMjLAmec39IyEx_6qawtMGysU/edit?usp=sharing"",""สบก!Z78"")"),496181)</f>
        <v>496181</v>
      </c>
      <c r="N57" s="49">
        <f ca="1">IFERROR(__xludf.DUMMYFUNCTION("IMPORTRANGE(""https://docs.google.com/spreadsheets/d/1Yj_ptqi66GCucihVvJfMjLAmec39IyEx_6qawtMGysU/edit?usp=sharing"",""สบก!AA78"")"),435431)</f>
        <v>435431</v>
      </c>
      <c r="O57" s="38">
        <f ca="1">IF(L57&gt;0,N57*100/L57,0)</f>
        <v>72.571833333333331</v>
      </c>
      <c r="P57" s="38">
        <f ca="1">IF(M57&gt;0,N57*100/M57,0)</f>
        <v>87.756484024982825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1469100</v>
      </c>
      <c r="N66" s="152">
        <f t="shared" ca="1" si="45"/>
        <v>1412490</v>
      </c>
      <c r="O66" s="151">
        <f t="shared" ref="O66:O68" ca="1" si="46">IF(L66&gt;0,N66*100/L66,0)</f>
        <v>75.526146936156564</v>
      </c>
      <c r="P66" s="151">
        <f t="shared" ref="P66:P68" ca="1" si="47">IF(M66&gt;0,N66*100/M66,0)</f>
        <v>96.146620379824384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1469100</v>
      </c>
      <c r="N68" s="157">
        <f t="shared" ca="1" si="49"/>
        <v>1412490</v>
      </c>
      <c r="O68" s="156">
        <f t="shared" ca="1" si="46"/>
        <v>75.526146936156564</v>
      </c>
      <c r="P68" s="156">
        <f t="shared" ca="1" si="47"/>
        <v>96.146620379824384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947200</v>
      </c>
      <c r="M70" s="169">
        <f ca="1">IFERROR(__xludf.DUMMYFUNCTION("IMPORTRANGE(""https://docs.google.com/spreadsheets/d/1Yj_ptqi66GCucihVvJfMjLAmec39IyEx_6qawtMGysU/edit?usp=sharing"",""สบก!AI78"")"),546100)</f>
        <v>546100</v>
      </c>
      <c r="N70" s="170">
        <f ca="1">IFERROR(__xludf.DUMMYFUNCTION("IMPORTRANGE(""https://docs.google.com/spreadsheets/d/1Yj_ptqi66GCucihVvJfMjLAmec39IyEx_6qawtMGysU/edit?usp=sharing"",""สบก!AJ78"")"),489490)</f>
        <v>489490</v>
      </c>
      <c r="O70" s="170">
        <f ca="1">IF(L70&gt;0,N70*100/L70,0)</f>
        <v>51.677576013513516</v>
      </c>
      <c r="P70" s="170">
        <f ca="1">IF(M70&gt;0,N70*100/M70,0)</f>
        <v>89.633766709393882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IFERROR(__xludf.DUMMYFUNCTION("IMPORTRANGE(""https://docs.google.com/spreadsheets/d/1Yj_ptqi66GCucihVvJfMjLAmec39IyEx_6qawtMGysU/edit?usp=sharing"",""สบก!AE78"")"),317200)</f>
        <v>317200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IFERROR(__xludf.DUMMYFUNCTION("IMPORTRANGE(""https://docs.google.com/spreadsheets/d/1Yj_ptqi66GCucihVvJfMjLAmec39IyEx_6qawtMGysU/edit?usp=sharing"",""สบก!AF78"")"),630000)</f>
        <v>630000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IFERROR(__xludf.DUMMYFUNCTION("IMPORTRANGE(""https://docs.google.com/spreadsheets/d/1SX6NBoVAgQJ6U1MVXOaj8PK2l7WJ3RER9xtqwdhxkhw/edit?usp=sharing"",""สุพรรณบุรี!J16"")"),0)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IFERROR(__xludf.DUMMYFUNCTION("IMPORTRANGE(""https://docs.google.com/spreadsheets/d/1SX6NBoVAgQJ6U1MVXOaj8PK2l7WJ3RER9xtqwdhxkhw/edit?usp=sharing"",""สุพรรณบุรี!J17"")"),1)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IFERROR(__xludf.DUMMYFUNCTION("IMPORTRANGE(""https://docs.google.com/spreadsheets/d/1SX6NBoVAgQJ6U1MVXOaj8PK2l7WJ3RER9xtqwdhxkhw/edit?usp=sharing"",""สุพรรณบุรี!J18"")"),1)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IFERROR(__xludf.DUMMYFUNCTION("IMPORTRANGE(""https://docs.google.com/spreadsheets/d/1SX6NBoVAgQJ6U1MVXOaj8PK2l7WJ3RER9xtqwdhxkhw/edit?usp=sharing"",""สุพรรณบุรี!J19"")"),1)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IFERROR(__xludf.DUMMYFUNCTION("IMPORTRANGE(""https://docs.google.com/spreadsheets/d/1SX6NBoVAgQJ6U1MVXOaj8PK2l7WJ3RER9xtqwdhxkhw/edit?usp=sharing"",""สุพรรณบุรี!I20"")"),2)</f>
        <v>2</v>
      </c>
      <c r="J80" s="202">
        <f ca="1">IFERROR(__xludf.DUMMYFUNCTION("IMPORTRANGE(""https://docs.google.com/spreadsheets/d/1SX6NBoVAgQJ6U1MVXOaj8PK2l7WJ3RER9xtqwdhxkhw/edit?usp=sharing"",""สุพรรณบุรี!J20"")"),2)</f>
        <v>2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IFERROR(__xludf.DUMMYFUNCTION("IMPORTRANGE(""https://docs.google.com/spreadsheets/d/1SX6NBoVAgQJ6U1MVXOaj8PK2l7WJ3RER9xtqwdhxkhw/edit?usp=sharing"",""สุพรรณบุรี!I21"")"),70)</f>
        <v>70</v>
      </c>
      <c r="J81" s="202">
        <f ca="1">IFERROR(__xludf.DUMMYFUNCTION("IMPORTRANGE(""https://docs.google.com/spreadsheets/d/1SX6NBoVAgQJ6U1MVXOaj8PK2l7WJ3RER9xtqwdhxkhw/edit?usp=sharing"",""สุพรรณบุรี!J21"")"),70)</f>
        <v>70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IFERROR(__xludf.DUMMYFUNCTION("IMPORTRANGE(""https://docs.google.com/spreadsheets/d/1SX6NBoVAgQJ6U1MVXOaj8PK2l7WJ3RER9xtqwdhxkhw/edit?usp=sharing"",""สุพรรณบุรี!I22"")"),0)</f>
        <v>0</v>
      </c>
      <c r="J82" s="205">
        <f ca="1">IFERROR(__xludf.DUMMYFUNCTION("IMPORTRANGE(""https://docs.google.com/spreadsheets/d/1SX6NBoVAgQJ6U1MVXOaj8PK2l7WJ3RER9xtqwdhxkhw/edit?usp=sharing"",""สุพรรณบุรี!J22"")"),0)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IFERROR(__xludf.DUMMYFUNCTION("IMPORTRANGE(""https://docs.google.com/spreadsheets/d/1SX6NBoVAgQJ6U1MVXOaj8PK2l7WJ3RER9xtqwdhxkhw/edit?usp=sharing"",""สุพรรณบุรี!I23"")"),0)</f>
        <v>0</v>
      </c>
      <c r="J83" s="205">
        <f ca="1">IFERROR(__xludf.DUMMYFUNCTION("IMPORTRANGE(""https://docs.google.com/spreadsheets/d/1SX6NBoVAgQJ6U1MVXOaj8PK2l7WJ3RER9xtqwdhxkhw/edit?usp=sharing"",""สุพรรณบุรี!J23"")"),0)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IFERROR(__xludf.DUMMYFUNCTION("IMPORTRANGE(""https://docs.google.com/spreadsheets/d/1SX6NBoVAgQJ6U1MVXOaj8PK2l7WJ3RER9xtqwdhxkhw/edit?usp=sharing"",""สุพรรณบุรี!I24"")"),0)</f>
        <v>0</v>
      </c>
      <c r="J84" s="190">
        <f ca="1">IFERROR(__xludf.DUMMYFUNCTION("IMPORTRANGE(""https://docs.google.com/spreadsheets/d/1SX6NBoVAgQJ6U1MVXOaj8PK2l7WJ3RER9xtqwdhxkhw/edit?usp=sharing"",""สุพรรณบุรี!J24"")"),0)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IFERROR(__xludf.DUMMYFUNCTION("IMPORTRANGE(""https://docs.google.com/spreadsheets/d/1SX6NBoVAgQJ6U1MVXOaj8PK2l7WJ3RER9xtqwdhxkhw/edit?usp=sharing"",""สุพรรณบุรี!I25"")"),0)</f>
        <v>0</v>
      </c>
      <c r="J85" s="190">
        <f ca="1">IFERROR(__xludf.DUMMYFUNCTION("IMPORTRANGE(""https://docs.google.com/spreadsheets/d/1SX6NBoVAgQJ6U1MVXOaj8PK2l7WJ3RER9xtqwdhxkhw/edit?usp=sharing"",""สุพรรณบุรี!J25"")"),0)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IFERROR(__xludf.DUMMYFUNCTION("IMPORTRANGE(""https://docs.google.com/spreadsheets/d/1SX6NBoVAgQJ6U1MVXOaj8PK2l7WJ3RER9xtqwdhxkhw/edit?usp=sharing"",""สุพรรณบุรี!I26"")"),2)</f>
        <v>2</v>
      </c>
      <c r="J86" s="205">
        <f ca="1">IFERROR(__xludf.DUMMYFUNCTION("IMPORTRANGE(""https://docs.google.com/spreadsheets/d/1SX6NBoVAgQJ6U1MVXOaj8PK2l7WJ3RER9xtqwdhxkhw/edit?usp=sharing"",""สุพรรณบุรี!J26"")"),2)</f>
        <v>2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IFERROR(__xludf.DUMMYFUNCTION("IMPORTRANGE(""https://docs.google.com/spreadsheets/d/1SX6NBoVAgQJ6U1MVXOaj8PK2l7WJ3RER9xtqwdhxkhw/edit?usp=sharing"",""สุพรรณบุรี!I27"")"),70)</f>
        <v>70</v>
      </c>
      <c r="J87" s="205">
        <f ca="1">IFERROR(__xludf.DUMMYFUNCTION("IMPORTRANGE(""https://docs.google.com/spreadsheets/d/1SX6NBoVAgQJ6U1MVXOaj8PK2l7WJ3RER9xtqwdhxkhw/edit?usp=sharing"",""สุพรรณบุรี!J27"")"),70)</f>
        <v>70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IFERROR(__xludf.DUMMYFUNCTION("IMPORTRANGE(""https://docs.google.com/spreadsheets/d/1SX6NBoVAgQJ6U1MVXOaj8PK2l7WJ3RER9xtqwdhxkhw/edit?usp=sharing"",""สุพรรณบุรี!I28"")"),0)</f>
        <v>0</v>
      </c>
      <c r="J88" s="205">
        <f ca="1">IFERROR(__xludf.DUMMYFUNCTION("IMPORTRANGE(""https://docs.google.com/spreadsheets/d/1SX6NBoVAgQJ6U1MVXOaj8PK2l7WJ3RER9xtqwdhxkhw/edit?usp=sharing"",""สุพรรณบุรี!J28"")"),0)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IFERROR(__xludf.DUMMYFUNCTION("IMPORTRANGE(""https://docs.google.com/spreadsheets/d/1SX6NBoVAgQJ6U1MVXOaj8PK2l7WJ3RER9xtqwdhxkhw/edit?usp=sharing"",""สุพรรณบุรี!J29"")"),0)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IFERROR(__xludf.DUMMYFUNCTION("IMPORTRANGE(""https://docs.google.com/spreadsheets/d/1SX6NBoVAgQJ6U1MVXOaj8PK2l7WJ3RER9xtqwdhxkhw/edit?usp=sharing"",""สุพรรณบุรี!J30"")"),0)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IFERROR(__xludf.DUMMYFUNCTION("IMPORTRANGE(""https://docs.google.com/spreadsheets/d/1Yj_ptqi66GCucihVvJfMjLAmec39IyEx_6qawtMGysU/edit?usp=sharing"",""สบก!AR78"")"),0)</f>
        <v>0</v>
      </c>
      <c r="N98" s="170">
        <f ca="1">IFERROR(__xludf.DUMMYFUNCTION("IMPORTRANGE(""https://docs.google.com/spreadsheets/d/1Yj_ptqi66GCucihVvJfMjLAmec39IyEx_6qawtMGysU/edit?usp=sharing"",""สบก!AS78"")"),0)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IFERROR(__xludf.DUMMYFUNCTION("IMPORTRANGE(""https://docs.google.com/spreadsheets/d/1Yj_ptqi66GCucihVvJfMjLAmec39IyEx_6qawtMGysU/edit?usp=sharing"",""สบก!AN78"")"),0)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IFERROR(__xludf.DUMMYFUNCTION("IMPORTRANGE(""https://docs.google.com/spreadsheets/d/1Yj_ptqi66GCucihVvJfMjLAmec39IyEx_6qawtMGysU/edit?usp=sharing"",""สบก!AO78"")"),0)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IFERROR(__xludf.DUMMYFUNCTION("IMPORTRANGE(""https://docs.google.com/spreadsheets/d/1SX6NBoVAgQJ6U1MVXOaj8PK2l7WJ3RER9xtqwdhxkhw/edit?usp=sharing"",""สุพรรณบุรี!I43"")"),0)</f>
        <v>0</v>
      </c>
      <c r="J108" s="205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IFERROR(__xludf.DUMMYFUNCTION("IMPORTRANGE(""https://docs.google.com/spreadsheets/d/1SX6NBoVAgQJ6U1MVXOaj8PK2l7WJ3RER9xtqwdhxkhw/edit?usp=sharing"",""สุพรรณบุรี!I44"")"),0)</f>
        <v>0</v>
      </c>
      <c r="J109" s="205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IFERROR(__xludf.DUMMYFUNCTION("IMPORTRANGE(""https://docs.google.com/spreadsheets/d/1SX6NBoVAgQJ6U1MVXOaj8PK2l7WJ3RER9xtqwdhxkhw/edit?usp=sharing"",""สุพรรณบุรี!I45"")"),0)</f>
        <v>0</v>
      </c>
      <c r="J110" s="205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IFERROR(__xludf.DUMMYFUNCTION("IMPORTRANGE(""https://docs.google.com/spreadsheets/d/1SX6NBoVAgQJ6U1MVXOaj8PK2l7WJ3RER9xtqwdhxkhw/edit?usp=sharing"",""สุพรรณบุรี!I46"")"),0)</f>
        <v>0</v>
      </c>
      <c r="J111" s="205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IFERROR(__xludf.DUMMYFUNCTION("IMPORTRANGE(""https://docs.google.com/spreadsheets/d/1SX6NBoVAgQJ6U1MVXOaj8PK2l7WJ3RER9xtqwdhxkhw/edit?usp=sharing"",""สุพรรณบุรี!I47"")"),0)</f>
        <v>0</v>
      </c>
      <c r="J112" s="205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IFERROR(__xludf.DUMMYFUNCTION("IMPORTRANGE(""https://docs.google.com/spreadsheets/d/1SX6NBoVAgQJ6U1MVXOaj8PK2l7WJ3RER9xtqwdhxkhw/edit?usp=sharing"",""สุพรรณบุรี!I48"")"),0)</f>
        <v>0</v>
      </c>
      <c r="J113" s="205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64890</v>
      </c>
      <c r="M118" s="152">
        <f t="shared" ca="1" si="58"/>
        <v>52890</v>
      </c>
      <c r="N118" s="152">
        <f t="shared" ca="1" si="58"/>
        <v>26370</v>
      </c>
      <c r="O118" s="151">
        <f t="shared" ref="O118:O120" ca="1" si="59">IF(L118&gt;0,N118*100/L118,0)</f>
        <v>40.638002773925102</v>
      </c>
      <c r="P118" s="151">
        <f t="shared" ref="P118:P120" ca="1" si="60">IF(M118&gt;0,N118*100/M118,0)</f>
        <v>49.85819625638117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64890</v>
      </c>
      <c r="M120" s="157">
        <f t="shared" ca="1" si="62"/>
        <v>52890</v>
      </c>
      <c r="N120" s="157">
        <f t="shared" ca="1" si="62"/>
        <v>26370</v>
      </c>
      <c r="O120" s="156">
        <f t="shared" ca="1" si="59"/>
        <v>40.638002773925102</v>
      </c>
      <c r="P120" s="156">
        <f t="shared" ca="1" si="60"/>
        <v>49.85819625638117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64890</v>
      </c>
      <c r="M122" s="169">
        <f ca="1">IFERROR(__xludf.DUMMYFUNCTION("IMPORTRANGE(""https://docs.google.com/spreadsheets/d/1Yj_ptqi66GCucihVvJfMjLAmec39IyEx_6qawtMGysU/edit?usp=sharing"",""สบก!BA78"")"),52890)</f>
        <v>52890</v>
      </c>
      <c r="N122" s="170">
        <f ca="1">IFERROR(__xludf.DUMMYFUNCTION("IMPORTRANGE(""https://docs.google.com/spreadsheets/d/1Yj_ptqi66GCucihVvJfMjLAmec39IyEx_6qawtMGysU/edit?usp=sharing"",""สบก!BB78"")"),26370)</f>
        <v>26370</v>
      </c>
      <c r="O122" s="170">
        <f ca="1">IF(L122&gt;0,N122*100/L122,0)</f>
        <v>40.638002773925102</v>
      </c>
      <c r="P122" s="170">
        <f ca="1">IF(M122&gt;0,N122*100/M122,0)</f>
        <v>49.85819625638117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IFERROR(__xludf.DUMMYFUNCTION("IMPORTRANGE(""https://docs.google.com/spreadsheets/d/1Yj_ptqi66GCucihVvJfMjLAmec39IyEx_6qawtMGysU/edit?usp=sharing"",""สบก!AW78"")"),0)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IFERROR(__xludf.DUMMYFUNCTION("IMPORTRANGE(""https://docs.google.com/spreadsheets/d/1Yj_ptqi66GCucihVvJfMjLAmec39IyEx_6qawtMGysU/edit?usp=sharing"",""สบก!AX78"")"),64890)</f>
        <v>64890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277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IFERROR(__xludf.DUMMYFUNCTION("IMPORTRANGE(""https://docs.google.com/spreadsheets/d/1SX6NBoVAgQJ6U1MVXOaj8PK2l7WJ3RER9xtqwdhxkhw/edit?usp=sharing"",""สุพรรณบุรี!J58"")"),1)</f>
        <v>1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IFERROR(__xludf.DUMMYFUNCTION("IMPORTRANGE(""https://docs.google.com/spreadsheets/d/1SX6NBoVAgQJ6U1MVXOaj8PK2l7WJ3RER9xtqwdhxkhw/edit?usp=sharing"",""สุพรรณบุรี!J59"")"),0)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IFERROR(__xludf.DUMMYFUNCTION("IMPORTRANGE(""https://docs.google.com/spreadsheets/d/1SX6NBoVAgQJ6U1MVXOaj8PK2l7WJ3RER9xtqwdhxkhw/edit?usp=sharing"",""สุพรรณบุรี!J60"")"),0)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IFERROR(__xludf.DUMMYFUNCTION("IMPORTRANGE(""https://docs.google.com/spreadsheets/d/1SX6NBoVAgQJ6U1MVXOaj8PK2l7WJ3RER9xtqwdhxkhw/edit?usp=sharing"",""สุพรรณบุรี!J61"")"),0)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IFERROR(__xludf.DUMMYFUNCTION("IMPORTRANGE(""https://docs.google.com/spreadsheets/d/1SX6NBoVAgQJ6U1MVXOaj8PK2l7WJ3RER9xtqwdhxkhw/edit?usp=sharing"",""สุพรรณบุรี!I62"")"),15)</f>
        <v>15</v>
      </c>
      <c r="J132" s="205">
        <f ca="1">IFERROR(__xludf.DUMMYFUNCTION("IMPORTRANGE(""https://docs.google.com/spreadsheets/d/1SX6NBoVAgQJ6U1MVXOaj8PK2l7WJ3RER9xtqwdhxkhw/edit?usp=sharing"",""สุพรรณบุรี!J62"")"),0)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IFERROR(__xludf.DUMMYFUNCTION("IMPORTRANGE(""https://docs.google.com/spreadsheets/d/1SX6NBoVAgQJ6U1MVXOaj8PK2l7WJ3RER9xtqwdhxkhw/edit?usp=sharing"",""สุพรรณบุรี!I63"")"),15)</f>
        <v>15</v>
      </c>
      <c r="J133" s="205">
        <f ca="1">IFERROR(__xludf.DUMMYFUNCTION("IMPORTRANGE(""https://docs.google.com/spreadsheets/d/1SX6NBoVAgQJ6U1MVXOaj8PK2l7WJ3RER9xtqwdhxkhw/edit?usp=sharing"",""สุพรรณบุรี!J63"")"),0)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30500</v>
      </c>
      <c r="M140" s="152">
        <f t="shared" ca="1" si="64"/>
        <v>117250</v>
      </c>
      <c r="N140" s="152">
        <f t="shared" ca="1" si="64"/>
        <v>108390</v>
      </c>
      <c r="O140" s="151">
        <f t="shared" ref="O140:O142" ca="1" si="65">IF(L140&gt;0,N140*100/L140,0)</f>
        <v>355.37704918032784</v>
      </c>
      <c r="P140" s="151">
        <f t="shared" ref="P140:P142" ca="1" si="66">IF(M140&gt;0,N140*100/M140,0)</f>
        <v>92.443496801705763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30500</v>
      </c>
      <c r="M142" s="157">
        <f t="shared" ca="1" si="68"/>
        <v>117250</v>
      </c>
      <c r="N142" s="157">
        <f t="shared" ca="1" si="68"/>
        <v>108390</v>
      </c>
      <c r="O142" s="156">
        <f t="shared" ca="1" si="65"/>
        <v>355.37704918032784</v>
      </c>
      <c r="P142" s="156">
        <f t="shared" ca="1" si="66"/>
        <v>92.443496801705763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30500</v>
      </c>
      <c r="M144" s="169">
        <f ca="1">IFERROR(__xludf.DUMMYFUNCTION("IMPORTRANGE(""https://docs.google.com/spreadsheets/d/1Yj_ptqi66GCucihVvJfMjLAmec39IyEx_6qawtMGysU/edit?usp=sharing"",""สบก!BJ78"")"),117250)</f>
        <v>117250</v>
      </c>
      <c r="N144" s="170">
        <f ca="1">IFERROR(__xludf.DUMMYFUNCTION("IMPORTRANGE(""https://docs.google.com/spreadsheets/d/1Yj_ptqi66GCucihVvJfMjLAmec39IyEx_6qawtMGysU/edit?usp=sharing"",""สบก!BK78"")"),108390)</f>
        <v>108390</v>
      </c>
      <c r="O144" s="170">
        <f ca="1">IF(L144&gt;0,N144*100/L144,0)</f>
        <v>355.37704918032784</v>
      </c>
      <c r="P144" s="170">
        <f ca="1">IF(M144&gt;0,N144*100/M144,0)</f>
        <v>92.443496801705763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IFERROR(__xludf.DUMMYFUNCTION("IMPORTRANGE(""https://docs.google.com/spreadsheets/d/1Yj_ptqi66GCucihVvJfMjLAmec39IyEx_6qawtMGysU/edit?usp=sharing"",""สบก!BF78"")"),0)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IFERROR(__xludf.DUMMYFUNCTION("IMPORTRANGE(""https://docs.google.com/spreadsheets/d/1Yj_ptqi66GCucihVvJfMjLAmec39IyEx_6qawtMGysU/edit?usp=sharing"",""สบก!BG78"")"),30500)</f>
        <v>30500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IFERROR(__xludf.DUMMYFUNCTION("IMPORTRANGE(""https://docs.google.com/spreadsheets/d/1SX6NBoVAgQJ6U1MVXOaj8PK2l7WJ3RER9xtqwdhxkhw/edit?usp=sharing"",""สุพรรณบุรี!J79"")"),0)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IFERROR(__xludf.DUMMYFUNCTION("IMPORTRANGE(""https://docs.google.com/spreadsheets/d/1SX6NBoVAgQJ6U1MVXOaj8PK2l7WJ3RER9xtqwdhxkhw/edit?usp=sharing"",""สุพรรณบุรี!J80"")"),1)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IFERROR(__xludf.DUMMYFUNCTION("IMPORTRANGE(""https://docs.google.com/spreadsheets/d/1SX6NBoVAgQJ6U1MVXOaj8PK2l7WJ3RER9xtqwdhxkhw/edit?usp=sharing"",""สุพรรณบุรี!J81"")"),1)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IFERROR(__xludf.DUMMYFUNCTION("IMPORTRANGE(""https://docs.google.com/spreadsheets/d/1SX6NBoVAgQJ6U1MVXOaj8PK2l7WJ3RER9xtqwdhxkhw/edit?usp=sharing"",""สุพรรณบุรี!J82"")"),0)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IFERROR(__xludf.DUMMYFUNCTION("IMPORTRANGE(""https://docs.google.com/spreadsheets/d/1SX6NBoVAgQJ6U1MVXOaj8PK2l7WJ3RER9xtqwdhxkhw/edit?usp=sharing"",""สุพรรณบุรี!I83"")"),4)</f>
        <v>4</v>
      </c>
      <c r="J158" s="190">
        <f ca="1">IFERROR(__xludf.DUMMYFUNCTION("IMPORTRANGE(""https://docs.google.com/spreadsheets/d/1SX6NBoVAgQJ6U1MVXOaj8PK2l7WJ3RER9xtqwdhxkhw/edit?usp=sharing"",""สุพรรณบุรี!J83"")"),1)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IFERROR(__xludf.DUMMYFUNCTION("IMPORTRANGE(""https://docs.google.com/spreadsheets/d/1SX6NBoVAgQJ6U1MVXOaj8PK2l7WJ3RER9xtqwdhxkhw/edit?usp=sharing"",""สุพรรณบุรี!J84"")"),53)</f>
        <v>53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IFERROR(__xludf.DUMMYFUNCTION("IMPORTRANGE(""https://docs.google.com/spreadsheets/d/1SX6NBoVAgQJ6U1MVXOaj8PK2l7WJ3RER9xtqwdhxkhw/edit?usp=sharing"",""สุพรรณบุรี!J85"")"),53)</f>
        <v>53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IFERROR(__xludf.DUMMYFUNCTION("IMPORTRANGE(""https://docs.google.com/spreadsheets/d/1SX6NBoVAgQJ6U1MVXOaj8PK2l7WJ3RER9xtqwdhxkhw/edit?usp=sharing"",""สุพรรณบุรี!J86"")"),0)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IFERROR(__xludf.DUMMYFUNCTION("IMPORTRANGE(""https://docs.google.com/spreadsheets/d/1SX6NBoVAgQJ6U1MVXOaj8PK2l7WJ3RER9xtqwdhxkhw/edit?usp=sharing"",""สุพรรณบุรี!J87"")"),0)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IFERROR(__xludf.DUMMYFUNCTION("IMPORTRANGE(""https://docs.google.com/spreadsheets/d/1SX6NBoVAgQJ6U1MVXOaj8PK2l7WJ3RER9xtqwdhxkhw/edit?usp=sharing"",""สุพรรณบุรี!J88"")"),0)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IFERROR(__xludf.DUMMYFUNCTION("IMPORTRANGE(""https://docs.google.com/spreadsheets/d/1SX6NBoVAgQJ6U1MVXOaj8PK2l7WJ3RER9xtqwdhxkhw/edit?usp=sharing"",""สุพรรณบุรี!I89"")"),1)</f>
        <v>1</v>
      </c>
      <c r="J164" s="284">
        <f ca="1">IFERROR(__xludf.DUMMYFUNCTION("IMPORTRANGE(""https://docs.google.com/spreadsheets/d/1SX6NBoVAgQJ6U1MVXOaj8PK2l7WJ3RER9xtqwdhxkhw/edit?usp=sharing"",""สุพรรณบุรี!J89"")"),1)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IFERROR(__xludf.DUMMYFUNCTION("IMPORTRANGE(""https://docs.google.com/spreadsheets/d/1SX6NBoVAgQJ6U1MVXOaj8PK2l7WJ3RER9xtqwdhxkhw/edit?usp=sharing"",""สุพรรณบุรี!J94"")"),0)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IFERROR(__xludf.DUMMYFUNCTION("IMPORTRANGE(""https://docs.google.com/spreadsheets/d/1SX6NBoVAgQJ6U1MVXOaj8PK2l7WJ3RER9xtqwdhxkhw/edit?usp=sharing"",""สุพรรณบุรี!J95"")"),1)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IFERROR(__xludf.DUMMYFUNCTION("IMPORTRANGE(""https://docs.google.com/spreadsheets/d/1SX6NBoVAgQJ6U1MVXOaj8PK2l7WJ3RER9xtqwdhxkhw/edit?usp=sharing"",""สุพรรณบุรี!J96"")"),1)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IFERROR(__xludf.DUMMYFUNCTION("IMPORTRANGE(""https://docs.google.com/spreadsheets/d/1SX6NBoVAgQJ6U1MVXOaj8PK2l7WJ3RER9xtqwdhxkhw/edit?usp=sharing"",""สุพรรณบุรี!J97"")"),0)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IFERROR(__xludf.DUMMYFUNCTION("IMPORTRANGE(""https://docs.google.com/spreadsheets/d/1SX6NBoVAgQJ6U1MVXOaj8PK2l7WJ3RER9xtqwdhxkhw/edit?usp=sharing"",""สุพรรณบุรี!I98"")"),1)</f>
        <v>1</v>
      </c>
      <c r="J173" s="190">
        <f ca="1">IFERROR(__xludf.DUMMYFUNCTION("IMPORTRANGE(""https://docs.google.com/spreadsheets/d/1SX6NBoVAgQJ6U1MVXOaj8PK2l7WJ3RER9xtqwdhxkhw/edit?usp=sharing"",""สุพรรณบุรี!J98"")"),1)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IFERROR(__xludf.DUMMYFUNCTION("IMPORTRANGE(""https://docs.google.com/spreadsheets/d/1SX6NBoVAgQJ6U1MVXOaj8PK2l7WJ3RER9xtqwdhxkhw/edit?usp=sharing"",""สุพรรณบุรี!J99"")"),0)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IFERROR(__xludf.DUMMYFUNCTION("IMPORTRANGE(""https://docs.google.com/spreadsheets/d/1SX6NBoVAgQJ6U1MVXOaj8PK2l7WJ3RER9xtqwdhxkhw/edit?usp=sharing"",""สุพรรณบุรี!J100"")"),0)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IFERROR(__xludf.DUMMYFUNCTION("IMPORTRANGE(""https://docs.google.com/spreadsheets/d/1SX6NBoVAgQJ6U1MVXOaj8PK2l7WJ3RER9xtqwdhxkhw/edit?usp=sharing"",""สุพรรณบุรี!I101"")"),0)</f>
        <v>0</v>
      </c>
      <c r="J176" s="284">
        <f ca="1">IFERROR(__xludf.DUMMYFUNCTION("IMPORTRANGE(""https://docs.google.com/spreadsheets/d/1SX6NBoVAgQJ6U1MVXOaj8PK2l7WJ3RER9xtqwdhxkhw/edit?usp=sharing"",""สุพรรณบุรี!J101"")"),0)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IFERROR(__xludf.DUMMYFUNCTION("IMPORTRANGE(""https://docs.google.com/spreadsheets/d/1SX6NBoVAgQJ6U1MVXOaj8PK2l7WJ3RER9xtqwdhxkhw/edit?usp=sharing"",""สุพรรณบุรี!I110"")"),0)</f>
        <v>0</v>
      </c>
      <c r="J185" s="205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IFERROR(__xludf.DUMMYFUNCTION("IMPORTRANGE(""https://docs.google.com/spreadsheets/d/1SX6NBoVAgQJ6U1MVXOaj8PK2l7WJ3RER9xtqwdhxkhw/edit?usp=sharing"",""สุพรรณบุรี!I111"")"),0)</f>
        <v>0</v>
      </c>
      <c r="J186" s="205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IFERROR(__xludf.DUMMYFUNCTION("IMPORTRANGE(""https://docs.google.com/spreadsheets/d/1SX6NBoVAgQJ6U1MVXOaj8PK2l7WJ3RER9xtqwdhxkhw/edit?usp=sharing"",""สุพรรณบุรี!I114"")"),20000)</f>
        <v>20000</v>
      </c>
      <c r="J189" s="284">
        <f ca="1">IFERROR(__xludf.DUMMYFUNCTION("IMPORTRANGE(""https://docs.google.com/spreadsheets/d/1SX6NBoVAgQJ6U1MVXOaj8PK2l7WJ3RER9xtqwdhxkhw/edit?usp=sharing"",""สุพรรณบุรี!J114"")"),0)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IFERROR(__xludf.DUMMYFUNCTION("IMPORTRANGE(""https://docs.google.com/spreadsheets/d/1SX6NBoVAgQJ6U1MVXOaj8PK2l7WJ3RER9xtqwdhxkhw/edit?usp=sharing"",""สุพรรณบุรี!J119"")"),0)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IFERROR(__xludf.DUMMYFUNCTION("IMPORTRANGE(""https://docs.google.com/spreadsheets/d/1SX6NBoVAgQJ6U1MVXOaj8PK2l7WJ3RER9xtqwdhxkhw/edit?usp=sharing"",""สุพรรณบุรี!J120"")"),1)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IFERROR(__xludf.DUMMYFUNCTION("IMPORTRANGE(""https://docs.google.com/spreadsheets/d/1SX6NBoVAgQJ6U1MVXOaj8PK2l7WJ3RER9xtqwdhxkhw/edit?usp=sharing"",""สุพรรณบุรี!J121"")"),1)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IFERROR(__xludf.DUMMYFUNCTION("IMPORTRANGE(""https://docs.google.com/spreadsheets/d/1SX6NBoVAgQJ6U1MVXOaj8PK2l7WJ3RER9xtqwdhxkhw/edit?usp=sharing"",""สุพรรณบุรี!J122"")"),0)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IFERROR(__xludf.DUMMYFUNCTION("IMPORTRANGE(""https://docs.google.com/spreadsheets/d/1SX6NBoVAgQJ6U1MVXOaj8PK2l7WJ3RER9xtqwdhxkhw/edit?usp=sharing"",""สุพรรณบุรี!I124"")"),20000)</f>
        <v>20000</v>
      </c>
      <c r="J199" s="190">
        <f ca="1">IFERROR(__xludf.DUMMYFUNCTION("IMPORTRANGE(""https://docs.google.com/spreadsheets/d/1SX6NBoVAgQJ6U1MVXOaj8PK2l7WJ3RER9xtqwdhxkhw/edit?usp=sharing"",""สุพรรณบุรี!J124"")"),20000)</f>
        <v>20000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IFERROR(__xludf.DUMMYFUNCTION("IMPORTRANGE(""https://docs.google.com/spreadsheets/d/1SX6NBoVAgQJ6U1MVXOaj8PK2l7WJ3RER9xtqwdhxkhw/edit?usp=sharing"",""สุพรรณบุรี!I125"")"),20000)</f>
        <v>20000</v>
      </c>
      <c r="J200" s="190">
        <f ca="1">IFERROR(__xludf.DUMMYFUNCTION("IMPORTRANGE(""https://docs.google.com/spreadsheets/d/1SX6NBoVAgQJ6U1MVXOaj8PK2l7WJ3RER9xtqwdhxkhw/edit?usp=sharing"",""สุพรรณบุรี!J125"")"),0)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IFERROR(__xludf.DUMMYFUNCTION("IMPORTRANGE(""https://docs.google.com/spreadsheets/d/1SX6NBoVAgQJ6U1MVXOaj8PK2l7WJ3RER9xtqwdhxkhw/edit?usp=sharing"",""สุพรรณบุรี!I126"")"),0)</f>
        <v>0</v>
      </c>
      <c r="J201" s="190">
        <f ca="1">IFERROR(__xludf.DUMMYFUNCTION("IMPORTRANGE(""https://docs.google.com/spreadsheets/d/1SX6NBoVAgQJ6U1MVXOaj8PK2l7WJ3RER9xtqwdhxkhw/edit?usp=sharing"",""สุพรรณบุรี!J126"")"),0)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IFERROR(__xludf.DUMMYFUNCTION("IMPORTRANGE(""https://docs.google.com/spreadsheets/d/1SX6NBoVAgQJ6U1MVXOaj8PK2l7WJ3RER9xtqwdhxkhw/edit?usp=sharing"",""สุพรรณบุรี!J127"")"),0)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IFERROR(__xludf.DUMMYFUNCTION("IMPORTRANGE(""https://docs.google.com/spreadsheets/d/1SX6NBoVAgQJ6U1MVXOaj8PK2l7WJ3RER9xtqwdhxkhw/edit?usp=sharing"",""สุพรรณบุรี!J128"")"),0)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IFERROR(__xludf.DUMMYFUNCTION("IMPORTRANGE(""https://docs.google.com/spreadsheets/d/1SX6NBoVAgQJ6U1MVXOaj8PK2l7WJ3RER9xtqwdhxkhw/edit?usp=sharing"",""สุพรรณบุรี!I129"")"),0)</f>
        <v>0</v>
      </c>
      <c r="J204" s="284">
        <f ca="1">IFERROR(__xludf.DUMMYFUNCTION("IMPORTRANGE(""https://docs.google.com/spreadsheets/d/1SX6NBoVAgQJ6U1MVXOaj8PK2l7WJ3RER9xtqwdhxkhw/edit?usp=sharing"",""สุพรรณบุรี!J129"")"),0)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IFERROR(__xludf.DUMMYFUNCTION("IMPORTRANGE(""https://docs.google.com/spreadsheets/d/1SX6NBoVAgQJ6U1MVXOaj8PK2l7WJ3RER9xtqwdhxkhw/edit?usp=sharing"",""สุพรรณบุรี!I138"")"),0)</f>
        <v>0</v>
      </c>
      <c r="J213" s="205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IFERROR(__xludf.DUMMYFUNCTION("IMPORTRANGE(""https://docs.google.com/spreadsheets/d/1SX6NBoVAgQJ6U1MVXOaj8PK2l7WJ3RER9xtqwdhxkhw/edit?usp=sharing"",""สุพรรณบุรี!I140"")"),0)</f>
        <v>0</v>
      </c>
      <c r="J215" s="205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IFERROR(__xludf.DUMMYFUNCTION("IMPORTRANGE(""https://docs.google.com/spreadsheets/d/1SX6NBoVAgQJ6U1MVXOaj8PK2l7WJ3RER9xtqwdhxkhw/edit?usp=sharing"",""สุพรรณบุรี!I141"")"),0)</f>
        <v>0</v>
      </c>
      <c r="J216" s="205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IFERROR(__xludf.DUMMYFUNCTION("IMPORTRANGE(""https://docs.google.com/spreadsheets/d/1Yj_ptqi66GCucihVvJfMjLAmec39IyEx_6qawtMGysU/edit?usp=sharing"",""สบก!BS78"")"),21125)</f>
        <v>21125</v>
      </c>
      <c r="N224" s="170">
        <f ca="1">IFERROR(__xludf.DUMMYFUNCTION("IMPORTRANGE(""https://docs.google.com/spreadsheets/d/1Yj_ptqi66GCucihVvJfMjLAmec39IyEx_6qawtMGysU/edit?usp=sharing"",""สบก!BT78"")"),21125)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IFERROR(__xludf.DUMMYFUNCTION("IMPORTRANGE(""https://docs.google.com/spreadsheets/d/1Yj_ptqi66GCucihVvJfMjLAmec39IyEx_6qawtMGysU/edit?usp=sharing"",""สบก!BO78"")"),0)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IFERROR(__xludf.DUMMYFUNCTION("IMPORTRANGE(""https://docs.google.com/spreadsheets/d/1Yj_ptqi66GCucihVvJfMjLAmec39IyEx_6qawtMGysU/edit?usp=sharing"",""สบก!BP78"")"),21125)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IFERROR(__xludf.DUMMYFUNCTION("IMPORTRANGE(""https://docs.google.com/spreadsheets/d/1SX6NBoVAgQJ6U1MVXOaj8PK2l7WJ3RER9xtqwdhxkhw/edit?usp=sharing"",""สุพรรณบุรี!J151"")"),0)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IFERROR(__xludf.DUMMYFUNCTION("IMPORTRANGE(""https://docs.google.com/spreadsheets/d/1SX6NBoVAgQJ6U1MVXOaj8PK2l7WJ3RER9xtqwdhxkhw/edit?usp=sharing"",""สุพรรณบุรี!J152"")"),1)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IFERROR(__xludf.DUMMYFUNCTION("IMPORTRANGE(""https://docs.google.com/spreadsheets/d/1SX6NBoVAgQJ6U1MVXOaj8PK2l7WJ3RER9xtqwdhxkhw/edit?usp=sharing"",""สุพรรณบุรี!J153"")"),1)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IFERROR(__xludf.DUMMYFUNCTION("IMPORTRANGE(""https://docs.google.com/spreadsheets/d/1SX6NBoVAgQJ6U1MVXOaj8PK2l7WJ3RER9xtqwdhxkhw/edit?usp=sharing"",""สุพรรณบุรี!J154"")"),1)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IFERROR(__xludf.DUMMYFUNCTION("IMPORTRANGE(""https://docs.google.com/spreadsheets/d/1SX6NBoVAgQJ6U1MVXOaj8PK2l7WJ3RER9xtqwdhxkhw/edit?usp=sharing"",""สุพรรณบุรี!I155"")"),15)</f>
        <v>15</v>
      </c>
      <c r="J235" s="190">
        <f ca="1">IFERROR(__xludf.DUMMYFUNCTION("IMPORTRANGE(""https://docs.google.com/spreadsheets/d/1SX6NBoVAgQJ6U1MVXOaj8PK2l7WJ3RER9xtqwdhxkhw/edit?usp=sharing"",""สุพรรณบุรี!J155"")"),15)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IFERROR(__xludf.DUMMYFUNCTION("IMPORTRANGE(""https://docs.google.com/spreadsheets/d/1SX6NBoVAgQJ6U1MVXOaj8PK2l7WJ3RER9xtqwdhxkhw/edit?usp=sharing"",""สุพรรณบุรี!J156"")"),0)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IFERROR(__xludf.DUMMYFUNCTION("IMPORTRANGE(""https://docs.google.com/spreadsheets/d/1SX6NBoVAgQJ6U1MVXOaj8PK2l7WJ3RER9xtqwdhxkhw/edit?usp=sharing"",""สุพรรณบุรี!J157"")"),0)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IFERROR(__xludf.DUMMYFUNCTION("IMPORTRANGE(""https://docs.google.com/spreadsheets/d/1SX6NBoVAgQJ6U1MVXOaj8PK2l7WJ3RER9xtqwdhxkhw/edit?usp=sharing"",""สุพรรณบุรี!J159"")"),"")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IFERROR(__xludf.DUMMYFUNCTION("IMPORTRANGE(""https://docs.google.com/spreadsheets/d/1SX6NBoVAgQJ6U1MVXOaj8PK2l7WJ3RER9xtqwdhxkhw/edit?usp=sharing"",""สุพรรณบุรี!J161"")"),0)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IFERROR(__xludf.DUMMYFUNCTION("IMPORTRANGE(""https://docs.google.com/spreadsheets/d/1SX6NBoVAgQJ6U1MVXOaj8PK2l7WJ3RER9xtqwdhxkhw/edit?usp=sharing"",""สุพรรณบุรี!J162"")"),0)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IFERROR(__xludf.DUMMYFUNCTION("IMPORTRANGE(""https://docs.google.com/spreadsheets/d/1SX6NBoVAgQJ6U1MVXOaj8PK2l7WJ3RER9xtqwdhxkhw/edit?usp=sharing"",""สุพรรณบุรี!J163"")"),0)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IFERROR(__xludf.DUMMYFUNCTION("IMPORTRANGE(""https://docs.google.com/spreadsheets/d/1SX6NBoVAgQJ6U1MVXOaj8PK2l7WJ3RER9xtqwdhxkhw/edit?usp=sharing"",""สุพรรณบุรี!I164"")"),0)</f>
        <v>0</v>
      </c>
      <c r="J244" s="189">
        <f ca="1">IFERROR(__xludf.DUMMYFUNCTION("IMPORTRANGE(""https://docs.google.com/spreadsheets/d/1SX6NBoVAgQJ6U1MVXOaj8PK2l7WJ3RER9xtqwdhxkhw/edit?usp=sharing"",""สุพรรณบุรี!J164"")"),0)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IFERROR(__xludf.DUMMYFUNCTION("IMPORTRANGE(""https://docs.google.com/spreadsheets/d/1SX6NBoVAgQJ6U1MVXOaj8PK2l7WJ3RER9xtqwdhxkhw/edit?usp=sharing"",""สุพรรณบุรี!J165"")"),0)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IFERROR(__xludf.DUMMYFUNCTION("IMPORTRANGE(""https://docs.google.com/spreadsheets/d/1SX6NBoVAgQJ6U1MVXOaj8PK2l7WJ3RER9xtqwdhxkhw/edit?usp=sharing"",""สุพรรณบุรี!I169"")"),20)</f>
        <v>20</v>
      </c>
      <c r="J249" s="316">
        <f ca="1">IFERROR(__xludf.DUMMYFUNCTION("IMPORTRANGE(""https://docs.google.com/spreadsheets/d/1SX6NBoVAgQJ6U1MVXOaj8PK2l7WJ3RER9xtqwdhxkhw/edit?usp=sharing"",""สุพรรณบุรี!J169"")"),0)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40140</v>
      </c>
      <c r="O250" s="151">
        <f t="shared" ref="O250:O252" ca="1" si="78">IF(L250&gt;0,N250*100/L250,0)</f>
        <v>56.218487394957982</v>
      </c>
      <c r="P250" s="151">
        <f t="shared" ref="P250:P252" ca="1" si="79">IF(M250&gt;0,N250*100/M250,0)</f>
        <v>108.48648648648648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40140</v>
      </c>
      <c r="O252" s="156">
        <f t="shared" ca="1" si="78"/>
        <v>56.218487394957982</v>
      </c>
      <c r="P252" s="156">
        <f t="shared" ca="1" si="79"/>
        <v>108.48648648648648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IFERROR(__xludf.DUMMYFUNCTION("IMPORTRANGE(""https://docs.google.com/spreadsheets/d/1Yj_ptqi66GCucihVvJfMjLAmec39IyEx_6qawtMGysU/edit?usp=sharing"",""สบก!CB78"")"),37000)</f>
        <v>37000</v>
      </c>
      <c r="N254" s="170">
        <f ca="1">IFERROR(__xludf.DUMMYFUNCTION("IMPORTRANGE(""https://docs.google.com/spreadsheets/d/1Yj_ptqi66GCucihVvJfMjLAmec39IyEx_6qawtMGysU/edit?usp=sharing"",""สบก!CC78"")"),40140)</f>
        <v>40140</v>
      </c>
      <c r="O254" s="170">
        <f ca="1">IF(L254&gt;0,N254*100/L254,0)</f>
        <v>56.218487394957982</v>
      </c>
      <c r="P254" s="170">
        <f ca="1">IF(M254&gt;0,N254*100/M254,0)</f>
        <v>108.48648648648648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IFERROR(__xludf.DUMMYFUNCTION("IMPORTRANGE(""https://docs.google.com/spreadsheets/d/1Yj_ptqi66GCucihVvJfMjLAmec39IyEx_6qawtMGysU/edit?usp=sharing"",""สบก!BX78"")"),0)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IFERROR(__xludf.DUMMYFUNCTION("IMPORTRANGE(""https://docs.google.com/spreadsheets/d/1Yj_ptqi66GCucihVvJfMjLAmec39IyEx_6qawtMGysU/edit?usp=sharing"",""สบก!BY78"")"),71400)</f>
        <v>71400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IFERROR(__xludf.DUMMYFUNCTION("IMPORTRANGE(""https://docs.google.com/spreadsheets/d/1SX6NBoVAgQJ6U1MVXOaj8PK2l7WJ3RER9xtqwdhxkhw/edit?usp=sharing"",""สุพรรณบุรี!J175"")"),0)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IFERROR(__xludf.DUMMYFUNCTION("IMPORTRANGE(""https://docs.google.com/spreadsheets/d/1SX6NBoVAgQJ6U1MVXOaj8PK2l7WJ3RER9xtqwdhxkhw/edit?usp=sharing"",""สุพรรณบุรี!J176"")"),1)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IFERROR(__xludf.DUMMYFUNCTION("IMPORTRANGE(""https://docs.google.com/spreadsheets/d/1SX6NBoVAgQJ6U1MVXOaj8PK2l7WJ3RER9xtqwdhxkhw/edit?usp=sharing"",""สุพรรณบุรี!J177"")"),1)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IFERROR(__xludf.DUMMYFUNCTION("IMPORTRANGE(""https://docs.google.com/spreadsheets/d/1SX6NBoVAgQJ6U1MVXOaj8PK2l7WJ3RER9xtqwdhxkhw/edit?usp=sharing"",""สุพรรณบุรี!J178"")"),1)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IFERROR(__xludf.DUMMYFUNCTION("IMPORTRANGE(""https://docs.google.com/spreadsheets/d/1SX6NBoVAgQJ6U1MVXOaj8PK2l7WJ3RER9xtqwdhxkhw/edit?usp=sharing"",""สุพรรณบุรี!I179"")"),1)</f>
        <v>1</v>
      </c>
      <c r="J264" s="190">
        <f ca="1">IFERROR(__xludf.DUMMYFUNCTION("IMPORTRANGE(""https://docs.google.com/spreadsheets/d/1SX6NBoVAgQJ6U1MVXOaj8PK2l7WJ3RER9xtqwdhxkhw/edit?usp=sharing"",""สุพรรณบุรี!J179"")"),0)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IFERROR(__xludf.DUMMYFUNCTION("IMPORTRANGE(""https://docs.google.com/spreadsheets/d/1SX6NBoVAgQJ6U1MVXOaj8PK2l7WJ3RER9xtqwdhxkhw/edit?usp=sharing"",""สุพรรณบุรี!I180"")"),20)</f>
        <v>20</v>
      </c>
      <c r="J265" s="190">
        <f ca="1">IFERROR(__xludf.DUMMYFUNCTION("IMPORTRANGE(""https://docs.google.com/spreadsheets/d/1SX6NBoVAgQJ6U1MVXOaj8PK2l7WJ3RER9xtqwdhxkhw/edit?usp=sharing"",""สุพรรณบุรี!J180"")"),0)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IFERROR(__xludf.DUMMYFUNCTION("IMPORTRANGE(""https://docs.google.com/spreadsheets/d/1SX6NBoVAgQJ6U1MVXOaj8PK2l7WJ3RER9xtqwdhxkhw/edit?usp=sharing"",""สุพรรณบุรี!I181"")"),20)</f>
        <v>20</v>
      </c>
      <c r="J266" s="190">
        <f ca="1">IFERROR(__xludf.DUMMYFUNCTION("IMPORTRANGE(""https://docs.google.com/spreadsheets/d/1SX6NBoVAgQJ6U1MVXOaj8PK2l7WJ3RER9xtqwdhxkhw/edit?usp=sharing"",""สุพรรณบุรี!J181"")"),0)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IFERROR(__xludf.DUMMYFUNCTION("IMPORTRANGE(""https://docs.google.com/spreadsheets/d/1SX6NBoVAgQJ6U1MVXOaj8PK2l7WJ3RER9xtqwdhxkhw/edit?usp=sharing"",""สุพรรณบุรี!I182"")"),1)</f>
        <v>1</v>
      </c>
      <c r="J267" s="190">
        <f ca="1">IFERROR(__xludf.DUMMYFUNCTION("IMPORTRANGE(""https://docs.google.com/spreadsheets/d/1SX6NBoVAgQJ6U1MVXOaj8PK2l7WJ3RER9xtqwdhxkhw/edit?usp=sharing"",""สุพรรณบุรี!J182"")"),0)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IFERROR(__xludf.DUMMYFUNCTION("IMPORTRANGE(""https://docs.google.com/spreadsheets/d/1SX6NBoVAgQJ6U1MVXOaj8PK2l7WJ3RER9xtqwdhxkhw/edit?usp=sharing"",""สุพรรณบุรี!J183"")"),0)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IFERROR(__xludf.DUMMYFUNCTION("IMPORTRANGE(""https://docs.google.com/spreadsheets/d/1SX6NBoVAgQJ6U1MVXOaj8PK2l7WJ3RER9xtqwdhxkhw/edit?usp=sharing"",""สุพรรณบุรี!J184"")"),0)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IFERROR(__xludf.DUMMYFUNCTION("IMPORTRANGE(""https://docs.google.com/spreadsheets/d/1SX6NBoVAgQJ6U1MVXOaj8PK2l7WJ3RER9xtqwdhxkhw/edit?usp=sharing"",""สุพรรณบุรี!I185"")"),15)</f>
        <v>15</v>
      </c>
      <c r="J270" s="316">
        <f ca="1">IFERROR(__xludf.DUMMYFUNCTION("IMPORTRANGE(""https://docs.google.com/spreadsheets/d/1SX6NBoVAgQJ6U1MVXOaj8PK2l7WJ3RER9xtqwdhxkhw/edit?usp=sharing"",""สุพรรณบุรี!J185"")"),0)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105700</v>
      </c>
      <c r="M271" s="152">
        <f t="shared" ca="1" si="83"/>
        <v>80000</v>
      </c>
      <c r="N271" s="152">
        <f t="shared" ca="1" si="83"/>
        <v>69939</v>
      </c>
      <c r="O271" s="151">
        <f t="shared" ref="O271:O273" ca="1" si="84">IF(L271&gt;0,N271*100/L271,0)</f>
        <v>66.167455061494792</v>
      </c>
      <c r="P271" s="151">
        <f t="shared" ref="P271:P273" ca="1" si="85">IF(M271&gt;0,N271*100/M271,0)</f>
        <v>87.423749999999998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105700</v>
      </c>
      <c r="M273" s="157">
        <f t="shared" ca="1" si="87"/>
        <v>80000</v>
      </c>
      <c r="N273" s="157">
        <f t="shared" ca="1" si="87"/>
        <v>69939</v>
      </c>
      <c r="O273" s="156">
        <f t="shared" ca="1" si="84"/>
        <v>66.167455061494792</v>
      </c>
      <c r="P273" s="156">
        <f t="shared" ca="1" si="85"/>
        <v>87.423749999999998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105700</v>
      </c>
      <c r="M275" s="169">
        <f ca="1">IFERROR(__xludf.DUMMYFUNCTION("IMPORTRANGE(""https://docs.google.com/spreadsheets/d/1Yj_ptqi66GCucihVvJfMjLAmec39IyEx_6qawtMGysU/edit?usp=sharing"",""สบก!CK78"")"),80000)</f>
        <v>80000</v>
      </c>
      <c r="N275" s="170">
        <f ca="1">IFERROR(__xludf.DUMMYFUNCTION("IMPORTRANGE(""https://docs.google.com/spreadsheets/d/1Yj_ptqi66GCucihVvJfMjLAmec39IyEx_6qawtMGysU/edit?usp=sharing"",""สบก!CL78"")"),69939)</f>
        <v>69939</v>
      </c>
      <c r="O275" s="170">
        <f ca="1">IF(L275&gt;0,N275*100/L275,0)</f>
        <v>66.167455061494792</v>
      </c>
      <c r="P275" s="170">
        <f ca="1">IF(M275&gt;0,N275*100/M275,0)</f>
        <v>87.423749999999998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IFERROR(__xludf.DUMMYFUNCTION("IMPORTRANGE(""https://docs.google.com/spreadsheets/d/1Yj_ptqi66GCucihVvJfMjLAmec39IyEx_6qawtMGysU/edit?usp=sharing"",""สบก!CG78"")"),0)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IFERROR(__xludf.DUMMYFUNCTION("IMPORTRANGE(""https://docs.google.com/spreadsheets/d/1Yj_ptqi66GCucihVvJfMjLAmec39IyEx_6qawtMGysU/edit?usp=sharing"",""สบก!CH78"")"),105700)</f>
        <v>105700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IFERROR(__xludf.DUMMYFUNCTION("IMPORTRANGE(""https://docs.google.com/spreadsheets/d/1SX6NBoVAgQJ6U1MVXOaj8PK2l7WJ3RER9xtqwdhxkhw/edit?usp=sharing"",""สุพรรณบุรี!J191"")"),0)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IFERROR(__xludf.DUMMYFUNCTION("IMPORTRANGE(""https://docs.google.com/spreadsheets/d/1SX6NBoVAgQJ6U1MVXOaj8PK2l7WJ3RER9xtqwdhxkhw/edit?usp=sharing"",""สุพรรณบุรี!J192"")"),1)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IFERROR(__xludf.DUMMYFUNCTION("IMPORTRANGE(""https://docs.google.com/spreadsheets/d/1SX6NBoVAgQJ6U1MVXOaj8PK2l7WJ3RER9xtqwdhxkhw/edit?usp=sharing"",""สุพรรณบุรี!J193"")"),1)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IFERROR(__xludf.DUMMYFUNCTION("IMPORTRANGE(""https://docs.google.com/spreadsheets/d/1SX6NBoVAgQJ6U1MVXOaj8PK2l7WJ3RER9xtqwdhxkhw/edit?usp=sharing"",""สุพรรณบุรี!J194"")"),1)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IFERROR(__xludf.DUMMYFUNCTION("IMPORTRANGE(""https://docs.google.com/spreadsheets/d/1SX6NBoVAgQJ6U1MVXOaj8PK2l7WJ3RER9xtqwdhxkhw/edit?usp=sharing"",""สุพรรณบุรี!I195"")"),15)</f>
        <v>15</v>
      </c>
      <c r="J285" s="190">
        <f ca="1">IFERROR(__xludf.DUMMYFUNCTION("IMPORTRANGE(""https://docs.google.com/spreadsheets/d/1SX6NBoVAgQJ6U1MVXOaj8PK2l7WJ3RER9xtqwdhxkhw/edit?usp=sharing"",""สุพรรณบุรี!J195"")"),0)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IFERROR(__xludf.DUMMYFUNCTION("IMPORTRANGE(""https://docs.google.com/spreadsheets/d/1SX6NBoVAgQJ6U1MVXOaj8PK2l7WJ3RER9xtqwdhxkhw/edit?usp=sharing"",""สุพรรณบุรี!J196"")"),0)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IFERROR(__xludf.DUMMYFUNCTION("IMPORTRANGE(""https://docs.google.com/spreadsheets/d/1SX6NBoVAgQJ6U1MVXOaj8PK2l7WJ3RER9xtqwdhxkhw/edit?usp=sharing"",""สุพรรณบุรี!J197"")"),0)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IFERROR(__xludf.DUMMYFUNCTION("IMPORTRANGE(""https://docs.google.com/spreadsheets/d/1SX6NBoVAgQJ6U1MVXOaj8PK2l7WJ3RER9xtqwdhxkhw/edit?usp=sharing"",""สุพรรณบุรี!I199"")"),0)</f>
        <v>0</v>
      </c>
      <c r="J289" s="316">
        <f ca="1">IFERROR(__xludf.DUMMYFUNCTION("IMPORTRANGE(""https://docs.google.com/spreadsheets/d/1SX6NBoVAgQJ6U1MVXOaj8PK2l7WJ3RER9xtqwdhxkhw/edit?usp=sharing"",""สุพรรณบุรี!J199"")"),0)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IFERROR(__xludf.DUMMYFUNCTION("IMPORTRANGE(""https://docs.google.com/spreadsheets/d/1Yj_ptqi66GCucihVvJfMjLAmec39IyEx_6qawtMGysU/edit?usp=sharing"",""สบก!CT78"")"),0)</f>
        <v>0</v>
      </c>
      <c r="N294" s="170">
        <f ca="1">IFERROR(__xludf.DUMMYFUNCTION("IMPORTRANGE(""https://docs.google.com/spreadsheets/d/1Yj_ptqi66GCucihVvJfMjLAmec39IyEx_6qawtMGysU/edit?usp=sharing"",""สบก!CU78"")"),0)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IFERROR(__xludf.DUMMYFUNCTION("IMPORTRANGE(""https://docs.google.com/spreadsheets/d/1Yj_ptqi66GCucihVvJfMjLAmec39IyEx_6qawtMGysU/edit?usp=sharing"",""สบก!CP78"")"),0)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IFERROR(__xludf.DUMMYFUNCTION("IMPORTRANGE(""https://docs.google.com/spreadsheets/d/1Yj_ptqi66GCucihVvJfMjLAmec39IyEx_6qawtMGysU/edit?usp=sharing"",""สบก!CQ78"")"),0)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IFERROR(__xludf.DUMMYFUNCTION("IMPORTRANGE(""https://docs.google.com/spreadsheets/d/1SX6NBoVAgQJ6U1MVXOaj8PK2l7WJ3RER9xtqwdhxkhw/edit?usp=sharing"",""สุพรรณบุรี!I209"")"),0)</f>
        <v>0</v>
      </c>
      <c r="J304" s="205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IFERROR(__xludf.DUMMYFUNCTION("IMPORTRANGE(""https://docs.google.com/spreadsheets/d/1SX6NBoVAgQJ6U1MVXOaj8PK2l7WJ3RER9xtqwdhxkhw/edit?usp=sharing"",""สุพรรณบุรี!I211"")"),0)</f>
        <v>0</v>
      </c>
      <c r="J306" s="205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IFERROR(__xludf.DUMMYFUNCTION("IMPORTRANGE(""https://docs.google.com/spreadsheets/d/1SX6NBoVAgQJ6U1MVXOaj8PK2l7WJ3RER9xtqwdhxkhw/edit?usp=sharing"",""สุพรรณบุรี!I214"")"),0)</f>
        <v>0</v>
      </c>
      <c r="J309" s="333">
        <f ca="1">IFERROR(__xludf.DUMMYFUNCTION("IMPORTRANGE(""https://docs.google.com/spreadsheets/d/1SX6NBoVAgQJ6U1MVXOaj8PK2l7WJ3RER9xtqwdhxkhw/edit?usp=sharing"",""สุพรรณบุรี!J214"")"),0)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IFERROR(__xludf.DUMMYFUNCTION("IMPORTRANGE(""https://docs.google.com/spreadsheets/d/1Yj_ptqi66GCucihVvJfMjLAmec39IyEx_6qawtMGysU/edit?usp=sharing"",""สบก!DC78"")"),0)</f>
        <v>0</v>
      </c>
      <c r="N314" s="170">
        <f ca="1">IFERROR(__xludf.DUMMYFUNCTION("IMPORTRANGE(""https://docs.google.com/spreadsheets/d/1Yj_ptqi66GCucihVvJfMjLAmec39IyEx_6qawtMGysU/edit?usp=sharing"",""สบก!DD78"")"),0)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IFERROR(__xludf.DUMMYFUNCTION("IMPORTRANGE(""https://docs.google.com/spreadsheets/d/1Yj_ptqi66GCucihVvJfMjLAmec39IyEx_6qawtMGysU/edit?usp=sharing"",""สบก!CY78"")"),0)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IFERROR(__xludf.DUMMYFUNCTION("IMPORTRANGE(""https://docs.google.com/spreadsheets/d/1Yj_ptqi66GCucihVvJfMjLAmec39IyEx_6qawtMGysU/edit?usp=sharing"",""สบก!CZ78"")"),0)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IFERROR(__xludf.DUMMYFUNCTION("IMPORTRANGE(""https://docs.google.com/spreadsheets/d/1SX6NBoVAgQJ6U1MVXOaj8PK2l7WJ3RER9xtqwdhxkhw/edit?usp=sharing"",""สุพรรณบุรี!I224"")"),0)</f>
        <v>0</v>
      </c>
      <c r="J324" s="205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IFERROR(__xludf.DUMMYFUNCTION("IMPORTRANGE(""https://docs.google.com/spreadsheets/d/1SX6NBoVAgQJ6U1MVXOaj8PK2l7WJ3RER9xtqwdhxkhw/edit?usp=sharing"",""สุพรรณบุรี!I228"")"),120)</f>
        <v>120</v>
      </c>
      <c r="J328" s="339">
        <f ca="1">IFERROR(__xludf.DUMMYFUNCTION("IMPORTRANGE(""https://docs.google.com/spreadsheets/d/1SX6NBoVAgQJ6U1MVXOaj8PK2l7WJ3RER9xtqwdhxkhw/edit?usp=sharing"",""สุพรรณบุรี!J228"")"),151)</f>
        <v>151</v>
      </c>
      <c r="K328" s="317">
        <f ca="1">IF(I328&gt;0,J328*100/I328,0)</f>
        <v>125.83333333333333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912740</v>
      </c>
      <c r="M329" s="152">
        <f t="shared" ca="1" si="98"/>
        <v>474980</v>
      </c>
      <c r="N329" s="152">
        <f t="shared" ca="1" si="98"/>
        <v>376608</v>
      </c>
      <c r="O329" s="151">
        <f t="shared" ref="O329:O331" ca="1" si="99">IF(L329&gt;0,N329*100/L329,0)</f>
        <v>41.261257313145038</v>
      </c>
      <c r="P329" s="151">
        <f t="shared" ref="P329:P331" ca="1" si="100">IF(M329&gt;0,N329*100/M329,0)</f>
        <v>79.289233230872881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912740</v>
      </c>
      <c r="M331" s="157">
        <f t="shared" ca="1" si="102"/>
        <v>474980</v>
      </c>
      <c r="N331" s="157">
        <f t="shared" ca="1" si="102"/>
        <v>376608</v>
      </c>
      <c r="O331" s="156">
        <f t="shared" ca="1" si="99"/>
        <v>41.261257313145038</v>
      </c>
      <c r="P331" s="156">
        <f t="shared" ca="1" si="100"/>
        <v>79.289233230872881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902740</v>
      </c>
      <c r="M333" s="169">
        <f ca="1">IFERROR(__xludf.DUMMYFUNCTION("IMPORTRANGE(""https://docs.google.com/spreadsheets/d/1Yj_ptqi66GCucihVvJfMjLAmec39IyEx_6qawtMGysU/edit?usp=sharing"",""สบก!DL78"")"),464980)</f>
        <v>464980</v>
      </c>
      <c r="N333" s="170">
        <f ca="1">IFERROR(__xludf.DUMMYFUNCTION("IMPORTRANGE(""https://docs.google.com/spreadsheets/d/1Yj_ptqi66GCucihVvJfMjLAmec39IyEx_6qawtMGysU/edit?usp=sharing"",""สบก!DM78"")"),366608)</f>
        <v>366608</v>
      </c>
      <c r="O333" s="170">
        <f ca="1">IF(L333&gt;0,N333*100/L333,0)</f>
        <v>40.610585550656886</v>
      </c>
      <c r="P333" s="170">
        <f ca="1">IF(M333&gt;0,N333*100/M333,0)</f>
        <v>78.84382123962321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IFERROR(__xludf.DUMMYFUNCTION("IMPORTRANGE(""https://docs.google.com/spreadsheets/d/1Yj_ptqi66GCucihVvJfMjLAmec39IyEx_6qawtMGysU/edit?usp=sharing"",""สบก!DH78"")"),583200)</f>
        <v>583200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IFERROR(__xludf.DUMMYFUNCTION("IMPORTRANGE(""https://docs.google.com/spreadsheets/d/1Yj_ptqi66GCucihVvJfMjLAmec39IyEx_6qawtMGysU/edit?usp=sharing"",""สบก!DI78"")"),319540)</f>
        <v>319540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IFERROR(__xludf.DUMMYFUNCTION("IMPORTRANGE(""https://docs.google.com/spreadsheets/d/1SX6NBoVAgQJ6U1MVXOaj8PK2l7WJ3RER9xtqwdhxkhw/edit?usp=sharing"",""สุพรรณบุรี!I234"")"),0)</f>
        <v>0</v>
      </c>
      <c r="J339" s="189">
        <f ca="1">IFERROR(__xludf.DUMMYFUNCTION("IMPORTRANGE(""https://docs.google.com/spreadsheets/d/1SX6NBoVAgQJ6U1MVXOaj8PK2l7WJ3RER9xtqwdhxkhw/edit?usp=sharing"",""สุพรรณบุรี!J234"")"),109)</f>
        <v>109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IFERROR(__xludf.DUMMYFUNCTION("IMPORTRANGE(""https://docs.google.com/spreadsheets/d/1SX6NBoVAgQJ6U1MVXOaj8PK2l7WJ3RER9xtqwdhxkhw/edit?usp=sharing"",""สุพรรณบุรี!I235"")"),800)</f>
        <v>800</v>
      </c>
      <c r="J340" s="189">
        <f ca="1">IFERROR(__xludf.DUMMYFUNCTION("IMPORTRANGE(""https://docs.google.com/spreadsheets/d/1SX6NBoVAgQJ6U1MVXOaj8PK2l7WJ3RER9xtqwdhxkhw/edit?usp=sharing"",""สุพรรณบุรี!J235"")"),715.01)</f>
        <v>715.01</v>
      </c>
      <c r="K340" s="342">
        <f t="shared" ca="1" si="103"/>
        <v>89.376249999999999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IFERROR(__xludf.DUMMYFUNCTION("IMPORTRANGE(""https://docs.google.com/spreadsheets/d/1SX6NBoVAgQJ6U1MVXOaj8PK2l7WJ3RER9xtqwdhxkhw/edit?usp=sharing"",""สุพรรณบุรี!I236"")"),120)</f>
        <v>120</v>
      </c>
      <c r="J341" s="189">
        <f ca="1">IFERROR(__xludf.DUMMYFUNCTION("IMPORTRANGE(""https://docs.google.com/spreadsheets/d/1SX6NBoVAgQJ6U1MVXOaj8PK2l7WJ3RER9xtqwdhxkhw/edit?usp=sharing"",""สุพรรณบุรี!J236"")"),193)</f>
        <v>193</v>
      </c>
      <c r="K341" s="342">
        <f t="shared" ca="1" si="103"/>
        <v>160.83333333333334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9">
        <f ca="1">IFERROR(__xludf.DUMMYFUNCTION("IMPORTRANGE(""https://docs.google.com/spreadsheets/d/1SX6NBoVAgQJ6U1MVXOaj8PK2l7WJ3RER9xtqwdhxkhw/edit?usp=sharing"",""สุพรรณบุรี!J237"")"),2157.52999999999)</f>
        <v>2157.5299999999902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IFERROR(__xludf.DUMMYFUNCTION("IMPORTRANGE(""https://docs.google.com/spreadsheets/d/1SX6NBoVAgQJ6U1MVXOaj8PK2l7WJ3RER9xtqwdhxkhw/edit?usp=sharing"",""สุพรรณบุรี!I238"")"),120)</f>
        <v>120</v>
      </c>
      <c r="J343" s="189">
        <f ca="1">IFERROR(__xludf.DUMMYFUNCTION("IMPORTRANGE(""https://docs.google.com/spreadsheets/d/1SX6NBoVAgQJ6U1MVXOaj8PK2l7WJ3RER9xtqwdhxkhw/edit?usp=sharing"",""สุพรรณบุรี!J238"")"),0)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9">
        <f ca="1">IFERROR(__xludf.DUMMYFUNCTION("IMPORTRANGE(""https://docs.google.com/spreadsheets/d/1SX6NBoVAgQJ6U1MVXOaj8PK2l7WJ3RER9xtqwdhxkhw/edit?usp=sharing"",""สุพรรณบุรี!J239"")"),0)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IFERROR(__xludf.DUMMYFUNCTION("IMPORTRANGE(""https://docs.google.com/spreadsheets/d/1SX6NBoVAgQJ6U1MVXOaj8PK2l7WJ3RER9xtqwdhxkhw/edit?usp=sharing"",""สุพรรณบุรี!I240"")"),120)</f>
        <v>120</v>
      </c>
      <c r="J345" s="189">
        <f ca="1">IFERROR(__xludf.DUMMYFUNCTION("IMPORTRANGE(""https://docs.google.com/spreadsheets/d/1SX6NBoVAgQJ6U1MVXOaj8PK2l7WJ3RER9xtqwdhxkhw/edit?usp=sharing"",""สุพรรณบุรี!J240"")"),151)</f>
        <v>151</v>
      </c>
      <c r="K345" s="342">
        <f t="shared" ca="1" si="103"/>
        <v>125.83333333333333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9">
        <f ca="1">IFERROR(__xludf.DUMMYFUNCTION("IMPORTRANGE(""https://docs.google.com/spreadsheets/d/1SX6NBoVAgQJ6U1MVXOaj8PK2l7WJ3RER9xtqwdhxkhw/edit?usp=sharing"",""สุพรรณบุรี!J241"")"),1880.53)</f>
        <v>1880.53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IFERROR(__xludf.DUMMYFUNCTION("IMPORTRANGE(""https://docs.google.com/spreadsheets/d/1SX6NBoVAgQJ6U1MVXOaj8PK2l7WJ3RER9xtqwdhxkhw/edit?usp=sharing"",""สุพรรณบุรี!L242"")"),2630395)</f>
        <v>2630395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IFERROR(__xludf.DUMMYFUNCTION("IMPORTRANGE(""https://docs.google.com/spreadsheets/d/1SX6NBoVAgQJ6U1MVXOaj8PK2l7WJ3RER9xtqwdhxkhw/edit?usp=sharing"",""สุพรรณบุรี!M242"")"),673507.93)</f>
        <v>673507.93</v>
      </c>
      <c r="O347" s="358">
        <f ca="1">+IF(L347&gt;0,N347*100/L347,0)</f>
        <v>25.60482094894493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IFERROR(__xludf.DUMMYFUNCTION("IMPORTRANGE(""https://docs.google.com/spreadsheets/d/1SX6NBoVAgQJ6U1MVXOaj8PK2l7WJ3RER9xtqwdhxkhw/edit?usp=sharing"",""สุพรรณบุรี!M244"")"),87960)</f>
        <v>87960</v>
      </c>
      <c r="O349" s="373">
        <f ca="1">+IF(L349&gt;0,N349*100/L349,0)</f>
        <v>29.732287723093563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IFERROR(__xludf.DUMMYFUNCTION("IMPORTRANGE(""https://docs.google.com/spreadsheets/d/1SX6NBoVAgQJ6U1MVXOaj8PK2l7WJ3RER9xtqwdhxkhw/edit?usp=sharing"",""สุพรรณบุรี!L246"")"),0)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IFERROR(__xludf.DUMMYFUNCTION("IMPORTRANGE(""https://docs.google.com/spreadsheets/d/1SX6NBoVAgQJ6U1MVXOaj8PK2l7WJ3RER9xtqwdhxkhw/edit?usp=sharing"",""สุพรรณบุรี!M246"")"),0)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7"/>
      <c r="N352" s="166">
        <f ca="1">IFERROR(__xludf.DUMMYFUNCTION("IMPORTRANGE(""https://docs.google.com/spreadsheets/d/1SX6NBoVAgQJ6U1MVXOaj8PK2l7WJ3RER9xtqwdhxkhw/edit?usp=sharing"",""สุพรรณบุรี!M247"")"),87960)</f>
        <v>87960</v>
      </c>
      <c r="O352" s="167">
        <f t="shared" ca="1" si="105"/>
        <v>29.732287723093563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IFERROR(__xludf.DUMMYFUNCTION("IMPORTRANGE(""https://docs.google.com/spreadsheets/d/1SX6NBoVAgQJ6U1MVXOaj8PK2l7WJ3RER9xtqwdhxkhw/edit?usp=sharing"",""สุพรรณบุรี!L248"")"),0)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IFERROR(__xludf.DUMMYFUNCTION("IMPORTRANGE(""https://docs.google.com/spreadsheets/d/1SX6NBoVAgQJ6U1MVXOaj8PK2l7WJ3RER9xtqwdhxkhw/edit?usp=sharing"",""สุพรรณบุรี!M248"")"),0)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IFERROR(__xludf.DUMMYFUNCTION("IMPORTRANGE(""https://docs.google.com/spreadsheets/d/1SX6NBoVAgQJ6U1MVXOaj8PK2l7WJ3RER9xtqwdhxkhw/edit?usp=sharing"",""สุพรรณบุรี!L249"")"),295840)</f>
        <v>295840</v>
      </c>
      <c r="M354" s="170"/>
      <c r="N354" s="169">
        <f ca="1">IFERROR(__xludf.DUMMYFUNCTION("IMPORTRANGE(""https://docs.google.com/spreadsheets/d/1SX6NBoVAgQJ6U1MVXOaj8PK2l7WJ3RER9xtqwdhxkhw/edit?usp=sharing"",""สุพรรณบุรี!M249"")"),87960)</f>
        <v>87960</v>
      </c>
      <c r="O354" s="170">
        <f t="shared" ca="1" si="105"/>
        <v>29.732287723093563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IFERROR(__xludf.DUMMYFUNCTION("IMPORTRANGE(""https://docs.google.com/spreadsheets/d/1SX6NBoVAgQJ6U1MVXOaj8PK2l7WJ3RER9xtqwdhxkhw/edit?usp=sharing"",""สุพรรณบุรี!M250"")"),41960)</f>
        <v>41960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IFERROR(__xludf.DUMMYFUNCTION("IMPORTRANGE(""https://docs.google.com/spreadsheets/d/1SX6NBoVAgQJ6U1MVXOaj8PK2l7WJ3RER9xtqwdhxkhw/edit?usp=sharing"",""สุพรรณบุรี!M251"")"),0)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IFERROR(__xludf.DUMMYFUNCTION("IMPORTRANGE(""https://docs.google.com/spreadsheets/d/1SX6NBoVAgQJ6U1MVXOaj8PK2l7WJ3RER9xtqwdhxkhw/edit?usp=sharing"",""สุพรรณบุรี!M252"")"),44000)</f>
        <v>44000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IFERROR(__xludf.DUMMYFUNCTION("IMPORTRANGE(""https://docs.google.com/spreadsheets/d/1SX6NBoVAgQJ6U1MVXOaj8PK2l7WJ3RER9xtqwdhxkhw/edit?usp=sharing"",""สุพรรณบุรี!M253"")"),2000)</f>
        <v>2000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IFERROR(__xludf.DUMMYFUNCTION("IMPORTRANGE(""https://docs.google.com/spreadsheets/d/1SX6NBoVAgQJ6U1MVXOaj8PK2l7WJ3RER9xtqwdhxkhw/edit?usp=sharing"",""สุพรรณบุรี!J255"")"),0)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IFERROR(__xludf.DUMMYFUNCTION("IMPORTRANGE(""https://docs.google.com/spreadsheets/d/1SX6NBoVAgQJ6U1MVXOaj8PK2l7WJ3RER9xtqwdhxkhw/edit?usp=sharing"",""สุพรรณบุรี!J256"")"),1)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IFERROR(__xludf.DUMMYFUNCTION("IMPORTRANGE(""https://docs.google.com/spreadsheets/d/1SX6NBoVAgQJ6U1MVXOaj8PK2l7WJ3RER9xtqwdhxkhw/edit?usp=sharing"",""สุพรรณบุรี!J257"")"),1)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IFERROR(__xludf.DUMMYFUNCTION("IMPORTRANGE(""https://docs.google.com/spreadsheets/d/1SX6NBoVAgQJ6U1MVXOaj8PK2l7WJ3RER9xtqwdhxkhw/edit?usp=sharing"",""สุพรรณบุรี!J258"")"),1)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IFERROR(__xludf.DUMMYFUNCTION("IMPORTRANGE(""https://docs.google.com/spreadsheets/d/1SX6NBoVAgQJ6U1MVXOaj8PK2l7WJ3RER9xtqwdhxkhw/edit?usp=sharing"",""สุพรรณบุรี!J166"")"),0)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IFERROR(__xludf.DUMMYFUNCTION("IMPORTRANGE(""https://docs.google.com/spreadsheets/d/1SX6NBoVAgQJ6U1MVXOaj8PK2l7WJ3RER9xtqwdhxkhw/edit?usp=sharing"",""สุพรรณบุรี!J166"")"),0)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IFERROR(__xludf.DUMMYFUNCTION("IMPORTRANGE(""https://docs.google.com/spreadsheets/d/1SX6NBoVAgQJ6U1MVXOaj8PK2l7WJ3RER9xtqwdhxkhw/edit?usp=sharing"",""สุพรรณบุรี!J166"")"),0)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IFERROR(__xludf.DUMMYFUNCTION("IMPORTRANGE(""https://docs.google.com/spreadsheets/d/1SX6NBoVAgQJ6U1MVXOaj8PK2l7WJ3RER9xtqwdhxkhw/edit?usp=sharing"",""สุพรรณบุรี!J166"")"),0)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IFERROR(__xludf.DUMMYFUNCTION("IMPORTRANGE(""https://docs.google.com/spreadsheets/d/1SX6NBoVAgQJ6U1MVXOaj8PK2l7WJ3RER9xtqwdhxkhw/edit?usp=sharing"",""สุพรรณบุรี!I263"")"),42)</f>
        <v>42</v>
      </c>
      <c r="J368" s="189">
        <f ca="1">IFERROR(__xludf.DUMMYFUNCTION("IMPORTRANGE(""https://docs.google.com/spreadsheets/d/1SX6NBoVAgQJ6U1MVXOaj8PK2l7WJ3RER9xtqwdhxkhw/edit?usp=sharing"",""สุพรรณบุรี!J263"")"),0)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IFERROR(__xludf.DUMMYFUNCTION("IMPORTRANGE(""https://docs.google.com/spreadsheets/d/1SX6NBoVAgQJ6U1MVXOaj8PK2l7WJ3RER9xtqwdhxkhw/edit?usp=sharing"",""สุพรรณบุรี!I164"")"),0)</f>
        <v>0</v>
      </c>
      <c r="J369" s="205">
        <f ca="1">IFERROR(__xludf.DUMMYFUNCTION("IMPORTRANGE(""https://docs.google.com/spreadsheets/d/1SX6NBoVAgQJ6U1MVXOaj8PK2l7WJ3RER9xtqwdhxkhw/edit?usp=sharing"",""สุพรรณบุรี!J164"")"),0)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IFERROR(__xludf.DUMMYFUNCTION("IMPORTRANGE(""https://docs.google.com/spreadsheets/d/1SX6NBoVAgQJ6U1MVXOaj8PK2l7WJ3RER9xtqwdhxkhw/edit?usp=sharing"",""สุพรรณบุรี!I265"")"),42)</f>
        <v>42</v>
      </c>
      <c r="J370" s="205">
        <f ca="1">IFERROR(__xludf.DUMMYFUNCTION("IMPORTRANGE(""https://docs.google.com/spreadsheets/d/1SX6NBoVAgQJ6U1MVXOaj8PK2l7WJ3RER9xtqwdhxkhw/edit?usp=sharing"",""สุพรรณบุรี!J265"")"),0)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IFERROR(__xludf.DUMMYFUNCTION("IMPORTRANGE(""https://docs.google.com/spreadsheets/d/1SX6NBoVAgQJ6U1MVXOaj8PK2l7WJ3RER9xtqwdhxkhw/edit?usp=sharing"",""สุพรรณบุรี!I164"")"),0)</f>
        <v>0</v>
      </c>
      <c r="J371" s="190">
        <f ca="1">IFERROR(__xludf.DUMMYFUNCTION("IMPORTRANGE(""https://docs.google.com/spreadsheets/d/1SX6NBoVAgQJ6U1MVXOaj8PK2l7WJ3RER9xtqwdhxkhw/edit?usp=sharing"",""สุพรรณบุรี!J164"")"),0)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IFERROR(__xludf.DUMMYFUNCTION("IMPORTRANGE(""https://docs.google.com/spreadsheets/d/1SX6NBoVAgQJ6U1MVXOaj8PK2l7WJ3RER9xtqwdhxkhw/edit?usp=sharing"",""สุพรรณบุรี!I267"")"),42)</f>
        <v>42</v>
      </c>
      <c r="J372" s="190">
        <f ca="1">IFERROR(__xludf.DUMMYFUNCTION("IMPORTRANGE(""https://docs.google.com/spreadsheets/d/1SX6NBoVAgQJ6U1MVXOaj8PK2l7WJ3RER9xtqwdhxkhw/edit?usp=sharing"",""สุพรรณบุรี!J267"")"),0)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IFERROR(__xludf.DUMMYFUNCTION("IMPORTRANGE(""https://docs.google.com/spreadsheets/d/1SX6NBoVAgQJ6U1MVXOaj8PK2l7WJ3RER9xtqwdhxkhw/edit?usp=sharing"",""สุพรรณบุรี!I164"")"),0)</f>
        <v>0</v>
      </c>
      <c r="J373" s="205">
        <f ca="1">IFERROR(__xludf.DUMMYFUNCTION("IMPORTRANGE(""https://docs.google.com/spreadsheets/d/1SX6NBoVAgQJ6U1MVXOaj8PK2l7WJ3RER9xtqwdhxkhw/edit?usp=sharing"",""สุพรรณบุรี!J164"")"),0)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IFERROR(__xludf.DUMMYFUNCTION("IMPORTRANGE(""https://docs.google.com/spreadsheets/d/1SX6NBoVAgQJ6U1MVXOaj8PK2l7WJ3RER9xtqwdhxkhw/edit?usp=sharing"",""สุพรรณบุรี!I164"")"),0)</f>
        <v>0</v>
      </c>
      <c r="J374" s="189">
        <f ca="1">IFERROR(__xludf.DUMMYFUNCTION("IMPORTRANGE(""https://docs.google.com/spreadsheets/d/1SX6NBoVAgQJ6U1MVXOaj8PK2l7WJ3RER9xtqwdhxkhw/edit?usp=sharing"",""สุพรรณบุรี!J164"")"),0)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IFERROR(__xludf.DUMMYFUNCTION("IMPORTRANGE(""https://docs.google.com/spreadsheets/d/1SX6NBoVAgQJ6U1MVXOaj8PK2l7WJ3RER9xtqwdhxkhw/edit?usp=sharing"",""สุพรรณบุรี!I270"")"),63)</f>
        <v>63</v>
      </c>
      <c r="J375" s="189">
        <f ca="1">IFERROR(__xludf.DUMMYFUNCTION("IMPORTRANGE(""https://docs.google.com/spreadsheets/d/1SX6NBoVAgQJ6U1MVXOaj8PK2l7WJ3RER9xtqwdhxkhw/edit?usp=sharing"",""สุพรรณบุรี!J270"")"),0)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IFERROR(__xludf.DUMMYFUNCTION("IMPORTRANGE(""https://docs.google.com/spreadsheets/d/1SX6NBoVAgQJ6U1MVXOaj8PK2l7WJ3RER9xtqwdhxkhw/edit?usp=sharing"",""สุพรรณบุรี!I271"")"),20)</f>
        <v>20</v>
      </c>
      <c r="J376" s="190">
        <f ca="1">IFERROR(__xludf.DUMMYFUNCTION("IMPORTRANGE(""https://docs.google.com/spreadsheets/d/1SX6NBoVAgQJ6U1MVXOaj8PK2l7WJ3RER9xtqwdhxkhw/edit?usp=sharing"",""สุพรรณบุรี!J271"")"),0)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IFERROR(__xludf.DUMMYFUNCTION("IMPORTRANGE(""https://docs.google.com/spreadsheets/d/1SX6NBoVAgQJ6U1MVXOaj8PK2l7WJ3RER9xtqwdhxkhw/edit?usp=sharing"",""สุพรรณบุรี!I272"")"),43)</f>
        <v>43</v>
      </c>
      <c r="J377" s="205">
        <f ca="1">IFERROR(__xludf.DUMMYFUNCTION("IMPORTRANGE(""https://docs.google.com/spreadsheets/d/1SX6NBoVAgQJ6U1MVXOaj8PK2l7WJ3RER9xtqwdhxkhw/edit?usp=sharing"",""สุพรรณบุรี!J272"")"),0)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IFERROR(__xludf.DUMMYFUNCTION("IMPORTRANGE(""https://docs.google.com/spreadsheets/d/1SX6NBoVAgQJ6U1MVXOaj8PK2l7WJ3RER9xtqwdhxkhw/edit?usp=sharing"",""สุพรรณบุรี!J273"")"),0)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IFERROR(__xludf.DUMMYFUNCTION("IMPORTRANGE(""https://docs.google.com/spreadsheets/d/1SX6NBoVAgQJ6U1MVXOaj8PK2l7WJ3RER9xtqwdhxkhw/edit?usp=sharing"",""สุพรรณบุรี!J274"")"),0)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IFERROR(__xludf.DUMMYFUNCTION("IMPORTRANGE(""https://docs.google.com/spreadsheets/d/1SX6NBoVAgQJ6U1MVXOaj8PK2l7WJ3RER9xtqwdhxkhw/edit?usp=sharing"",""สุพรรณบุรี!M275"")"),93911.95)</f>
        <v>93911.95</v>
      </c>
      <c r="O380" s="373">
        <f ca="1">+IF(L380&gt;0,N380*100/L380,0)</f>
        <v>9.1307850114727955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IFERROR(__xludf.DUMMYFUNCTION("IMPORTRANGE(""https://docs.google.com/spreadsheets/d/1SX6NBoVAgQJ6U1MVXOaj8PK2l7WJ3RER9xtqwdhxkhw/edit?usp=sharing"",""สุพรรณบุรี!L277"")"),0)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IFERROR(__xludf.DUMMYFUNCTION("IMPORTRANGE(""https://docs.google.com/spreadsheets/d/1SX6NBoVAgQJ6U1MVXOaj8PK2l7WJ3RER9xtqwdhxkhw/edit?usp=sharing"",""สุพรรณบุรี!M277"")"),0)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IFERROR(__xludf.DUMMYFUNCTION("IMPORTRANGE(""https://docs.google.com/spreadsheets/d/1SX6NBoVAgQJ6U1MVXOaj8PK2l7WJ3RER9xtqwdhxkhw/edit?usp=sharing"",""สุพรรณบุรี!M278"")"),93911.95)</f>
        <v>93911.95</v>
      </c>
      <c r="O383" s="167">
        <f t="shared" ca="1" si="109"/>
        <v>9.1307850114727955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IFERROR(__xludf.DUMMYFUNCTION("IMPORTRANGE(""https://docs.google.com/spreadsheets/d/1SX6NBoVAgQJ6U1MVXOaj8PK2l7WJ3RER9xtqwdhxkhw/edit?usp=sharing"",""สุพรรณบุรี!L279"")"),0)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IFERROR(__xludf.DUMMYFUNCTION("IMPORTRANGE(""https://docs.google.com/spreadsheets/d/1SX6NBoVAgQJ6U1MVXOaj8PK2l7WJ3RER9xtqwdhxkhw/edit?usp=sharing"",""สุพรรณบุรี!M279"")"),0)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IFERROR(__xludf.DUMMYFUNCTION("IMPORTRANGE(""https://docs.google.com/spreadsheets/d/1SX6NBoVAgQJ6U1MVXOaj8PK2l7WJ3RER9xtqwdhxkhw/edit?usp=sharing"",""สุพรรณบุรี!M280"")"),93911.95)</f>
        <v>93911.95</v>
      </c>
      <c r="O385" s="170">
        <f t="shared" ca="1" si="109"/>
        <v>9.1307850114727955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IFERROR(__xludf.DUMMYFUNCTION("IMPORTRANGE(""https://docs.google.com/spreadsheets/d/1SX6NBoVAgQJ6U1MVXOaj8PK2l7WJ3RER9xtqwdhxkhw/edit?usp=sharing"",""สุพรรณบุรี!M281"")"),26250)</f>
        <v>26250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IFERROR(__xludf.DUMMYFUNCTION("IMPORTRANGE(""https://docs.google.com/spreadsheets/d/1SX6NBoVAgQJ6U1MVXOaj8PK2l7WJ3RER9xtqwdhxkhw/edit?usp=sharing"",""สุพรรณบุรี!M282"")"),0)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IFERROR(__xludf.DUMMYFUNCTION("IMPORTRANGE(""https://docs.google.com/spreadsheets/d/1SX6NBoVAgQJ6U1MVXOaj8PK2l7WJ3RER9xtqwdhxkhw/edit?usp=sharing"",""สุพรรณบุรี!M283"")"),63741.95)</f>
        <v>63741.95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IFERROR(__xludf.DUMMYFUNCTION("IMPORTRANGE(""https://docs.google.com/spreadsheets/d/1SX6NBoVAgQJ6U1MVXOaj8PK2l7WJ3RER9xtqwdhxkhw/edit?usp=sharing"",""สุพรรณบุรี!M284"")"),3920)</f>
        <v>3920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IFERROR(__xludf.DUMMYFUNCTION("IMPORTRANGE(""https://docs.google.com/spreadsheets/d/1SX6NBoVAgQJ6U1MVXOaj8PK2l7WJ3RER9xtqwdhxkhw/edit?usp=sharing"",""สุพรรณบุรี!J286"")"),0)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IFERROR(__xludf.DUMMYFUNCTION("IMPORTRANGE(""https://docs.google.com/spreadsheets/d/1SX6NBoVAgQJ6U1MVXOaj8PK2l7WJ3RER9xtqwdhxkhw/edit?usp=sharing"",""สุพรรณบุรี!J287"")"),1)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IFERROR(__xludf.DUMMYFUNCTION("IMPORTRANGE(""https://docs.google.com/spreadsheets/d/1SX6NBoVAgQJ6U1MVXOaj8PK2l7WJ3RER9xtqwdhxkhw/edit?usp=sharing"",""สุพรรณบุรี!J288"")"),1)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IFERROR(__xludf.DUMMYFUNCTION("IMPORTRANGE(""https://docs.google.com/spreadsheets/d/1SX6NBoVAgQJ6U1MVXOaj8PK2l7WJ3RER9xtqwdhxkhw/edit?usp=sharing"",""สุพรรณบุรี!J289"")"),1)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IFERROR(__xludf.DUMMYFUNCTION("IMPORTRANGE(""https://docs.google.com/spreadsheets/d/1SX6NBoVAgQJ6U1MVXOaj8PK2l7WJ3RER9xtqwdhxkhw/edit?usp=sharing"",""สุพรรณบุรี!I291"")"),100)</f>
        <v>100</v>
      </c>
      <c r="J396" s="199">
        <f ca="1">IFERROR(__xludf.DUMMYFUNCTION("IMPORTRANGE(""https://docs.google.com/spreadsheets/d/1SX6NBoVAgQJ6U1MVXOaj8PK2l7WJ3RER9xtqwdhxkhw/edit?usp=sharing"",""สุพรรณบุรี!J291"")"),0)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IFERROR(__xludf.DUMMYFUNCTION("IMPORTRANGE(""https://docs.google.com/spreadsheets/d/1SX6NBoVAgQJ6U1MVXOaj8PK2l7WJ3RER9xtqwdhxkhw/edit?usp=sharing"",""สุพรรณบุรี!I292"")"),1000)</f>
        <v>1000</v>
      </c>
      <c r="J397" s="199">
        <f ca="1">IFERROR(__xludf.DUMMYFUNCTION("IMPORTRANGE(""https://docs.google.com/spreadsheets/d/1SX6NBoVAgQJ6U1MVXOaj8PK2l7WJ3RER9xtqwdhxkhw/edit?usp=sharing"",""สุพรรณบุรี!J292"")"),0)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IFERROR(__xludf.DUMMYFUNCTION("IMPORTRANGE(""https://docs.google.com/spreadsheets/d/1SX6NBoVAgQJ6U1MVXOaj8PK2l7WJ3RER9xtqwdhxkhw/edit?usp=sharing"",""สุพรรณบุรี!I293"")"),100)</f>
        <v>100</v>
      </c>
      <c r="J398" s="199">
        <f ca="1">IFERROR(__xludf.DUMMYFUNCTION("IMPORTRANGE(""https://docs.google.com/spreadsheets/d/1SX6NBoVAgQJ6U1MVXOaj8PK2l7WJ3RER9xtqwdhxkhw/edit?usp=sharing"",""สุพรรณบุรี!J293"")"),0)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IFERROR(__xludf.DUMMYFUNCTION("IMPORTRANGE(""https://docs.google.com/spreadsheets/d/1SX6NBoVAgQJ6U1MVXOaj8PK2l7WJ3RER9xtqwdhxkhw/edit?usp=sharing"",""สุพรรณบุรี!J294"")"),0)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IFERROR(__xludf.DUMMYFUNCTION("IMPORTRANGE(""https://docs.google.com/spreadsheets/d/1SX6NBoVAgQJ6U1MVXOaj8PK2l7WJ3RER9xtqwdhxkhw/edit?usp=sharing"",""สุพรรณบุรี!J295"")"),0)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IFERROR(__xludf.DUMMYFUNCTION("IMPORTRANGE(""https://docs.google.com/spreadsheets/d/1SX6NBoVAgQJ6U1MVXOaj8PK2l7WJ3RER9xtqwdhxkhw/edit?usp=sharing"",""สุพรรณบุรี!M296"")"),80340)</f>
        <v>80340</v>
      </c>
      <c r="O401" s="373">
        <f ca="1">+IF(L401&gt;0,N401*100/L401,0)</f>
        <v>43.068510775168868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IFERROR(__xludf.DUMMYFUNCTION("IMPORTRANGE(""https://docs.google.com/spreadsheets/d/1SX6NBoVAgQJ6U1MVXOaj8PK2l7WJ3RER9xtqwdhxkhw/edit?usp=sharing"",""สุพรรณบุรี!L298"")"),0)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IFERROR(__xludf.DUMMYFUNCTION("IMPORTRANGE(""https://docs.google.com/spreadsheets/d/1SX6NBoVAgQJ6U1MVXOaj8PK2l7WJ3RER9xtqwdhxkhw/edit?usp=sharing"",""สุพรรณบุรี!M298"")"),0)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7"/>
      <c r="N404" s="170">
        <f ca="1">IFERROR(__xludf.DUMMYFUNCTION("IMPORTRANGE(""https://docs.google.com/spreadsheets/d/1SX6NBoVAgQJ6U1MVXOaj8PK2l7WJ3RER9xtqwdhxkhw/edit?usp=sharing"",""สุพรรณบุรี!M299"")"),80340)</f>
        <v>80340</v>
      </c>
      <c r="O404" s="170">
        <f t="shared" ca="1" si="112"/>
        <v>43.068510775168868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IFERROR(__xludf.DUMMYFUNCTION("IMPORTRANGE(""https://docs.google.com/spreadsheets/d/1SX6NBoVAgQJ6U1MVXOaj8PK2l7WJ3RER9xtqwdhxkhw/edit?usp=sharing"",""สุพรรณบุรี!L300"")"),0)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IFERROR(__xludf.DUMMYFUNCTION("IMPORTRANGE(""https://docs.google.com/spreadsheets/d/1SX6NBoVAgQJ6U1MVXOaj8PK2l7WJ3RER9xtqwdhxkhw/edit?usp=sharing"",""สุพรรณบุรี!M300"")"),0)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IFERROR(__xludf.DUMMYFUNCTION("IMPORTRANGE(""https://docs.google.com/spreadsheets/d/1SX6NBoVAgQJ6U1MVXOaj8PK2l7WJ3RER9xtqwdhxkhw/edit?usp=sharing"",""สุพรรณบุรี!L301"")"),186540)</f>
        <v>186540</v>
      </c>
      <c r="M406" s="170"/>
      <c r="N406" s="170">
        <f ca="1">IFERROR(__xludf.DUMMYFUNCTION("IMPORTRANGE(""https://docs.google.com/spreadsheets/d/1SX6NBoVAgQJ6U1MVXOaj8PK2l7WJ3RER9xtqwdhxkhw/edit?usp=sharing"",""สุพรรณบุรี!M301"")"),80340)</f>
        <v>80340</v>
      </c>
      <c r="O406" s="170">
        <f t="shared" ca="1" si="112"/>
        <v>43.068510775168868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IFERROR(__xludf.DUMMYFUNCTION("IMPORTRANGE(""https://docs.google.com/spreadsheets/d/1SX6NBoVAgQJ6U1MVXOaj8PK2l7WJ3RER9xtqwdhxkhw/edit?usp=sharing"",""สุพรรณบุรี!M302"")"),77580)</f>
        <v>77580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IFERROR(__xludf.DUMMYFUNCTION("IMPORTRANGE(""https://docs.google.com/spreadsheets/d/1SX6NBoVAgQJ6U1MVXOaj8PK2l7WJ3RER9xtqwdhxkhw/edit?usp=sharing"",""สุพรรณบุรี!M303"")"),0)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IFERROR(__xludf.DUMMYFUNCTION("IMPORTRANGE(""https://docs.google.com/spreadsheets/d/1SX6NBoVAgQJ6U1MVXOaj8PK2l7WJ3RER9xtqwdhxkhw/edit?usp=sharing"",""สุพรรณบุรี!M305"")"),2760)</f>
        <v>2760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IFERROR(__xludf.DUMMYFUNCTION("IMPORTRANGE(""https://docs.google.com/spreadsheets/d/1SX6NBoVAgQJ6U1MVXOaj8PK2l7WJ3RER9xtqwdhxkhw/edit?usp=sharing"",""สุพรรณบุรี!J307"")"),0)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IFERROR(__xludf.DUMMYFUNCTION("IMPORTRANGE(""https://docs.google.com/spreadsheets/d/1SX6NBoVAgQJ6U1MVXOaj8PK2l7WJ3RER9xtqwdhxkhw/edit?usp=sharing"",""สุพรรณบุรี!J308"")"),1)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IFERROR(__xludf.DUMMYFUNCTION("IMPORTRANGE(""https://docs.google.com/spreadsheets/d/1SX6NBoVAgQJ6U1MVXOaj8PK2l7WJ3RER9xtqwdhxkhw/edit?usp=sharing"",""สุพรรณบุรี!J309"")"),1)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IFERROR(__xludf.DUMMYFUNCTION("IMPORTRANGE(""https://docs.google.com/spreadsheets/d/1SX6NBoVAgQJ6U1MVXOaj8PK2l7WJ3RER9xtqwdhxkhw/edit?usp=sharing"",""สุพรรณบุรี!J310"")"),1)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IFERROR(__xludf.DUMMYFUNCTION("IMPORTRANGE(""https://docs.google.com/spreadsheets/d/1SX6NBoVAgQJ6U1MVXOaj8PK2l7WJ3RER9xtqwdhxkhw/edit?usp=sharing"",""สุพรรณบุรี!I311"")"),60)</f>
        <v>60</v>
      </c>
      <c r="J416" s="202">
        <f ca="1">IFERROR(__xludf.DUMMYFUNCTION("IMPORTRANGE(""https://docs.google.com/spreadsheets/d/1SX6NBoVAgQJ6U1MVXOaj8PK2l7WJ3RER9xtqwdhxkhw/edit?usp=sharing"",""สุพรรณบุรี!J311"")"),0)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IFERROR(__xludf.DUMMYFUNCTION("IMPORTRANGE(""https://docs.google.com/spreadsheets/d/1SX6NBoVAgQJ6U1MVXOaj8PK2l7WJ3RER9xtqwdhxkhw/edit?usp=sharing"",""สุพรรณบุรี!J328"")"),0)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IFERROR(__xludf.DUMMYFUNCTION("IMPORTRANGE(""https://docs.google.com/spreadsheets/d/1SX6NBoVAgQJ6U1MVXOaj8PK2l7WJ3RER9xtqwdhxkhw/edit?usp=sharing"",""สุพรรณบุรี!J329"")"),0)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IFERROR(__xludf.DUMMYFUNCTION("IMPORTRANGE(""https://docs.google.com/spreadsheets/d/1SX6NBoVAgQJ6U1MVXOaj8PK2l7WJ3RER9xtqwdhxkhw/edit?usp=sharing"",""สุพรรณบุรี!J330"")"),15)</f>
        <v>15</v>
      </c>
      <c r="K435" s="411">
        <f ca="1">IF(I435&gt;0,J435*100/I435,0)</f>
        <v>33.333333333333336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IFERROR(__xludf.DUMMYFUNCTION("IMPORTRANGE(""https://docs.google.com/spreadsheets/d/1SX6NBoVAgQJ6U1MVXOaj8PK2l7WJ3RER9xtqwdhxkhw/edit?usp=sharing"",""สุพรรณบุรี!M330"")"),135520)</f>
        <v>135520</v>
      </c>
      <c r="O435" s="412">
        <f t="shared" ref="O435:O439" ca="1" si="114">+IF(L435&gt;0,N435*100/L435,0)</f>
        <v>81.393393393393396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IFERROR(__xludf.DUMMYFUNCTION("IMPORTRANGE(""https://docs.google.com/spreadsheets/d/1SX6NBoVAgQJ6U1MVXOaj8PK2l7WJ3RER9xtqwdhxkhw/edit?usp=sharing"",""สุพรรณบุรี!L331"")"),0)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IFERROR(__xludf.DUMMYFUNCTION("IMPORTRANGE(""https://docs.google.com/spreadsheets/d/1SX6NBoVAgQJ6U1MVXOaj8PK2l7WJ3RER9xtqwdhxkhw/edit?usp=sharing"",""สุพรรณบุรี!M331"")"),0)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7"/>
      <c r="N437" s="170">
        <f ca="1">IFERROR(__xludf.DUMMYFUNCTION("IMPORTRANGE(""https://docs.google.com/spreadsheets/d/1SX6NBoVAgQJ6U1MVXOaj8PK2l7WJ3RER9xtqwdhxkhw/edit?usp=sharing"",""สุพรรณบุรี!M332"")"),135520)</f>
        <v>135520</v>
      </c>
      <c r="O437" s="170">
        <f t="shared" ca="1" si="114"/>
        <v>81.393393393393396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IFERROR(__xludf.DUMMYFUNCTION("IMPORTRANGE(""https://docs.google.com/spreadsheets/d/1SX6NBoVAgQJ6U1MVXOaj8PK2l7WJ3RER9xtqwdhxkhw/edit?usp=sharing"",""สุพรรณบุรี!L333"")"),0)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IFERROR(__xludf.DUMMYFUNCTION("IMPORTRANGE(""https://docs.google.com/spreadsheets/d/1SX6NBoVAgQJ6U1MVXOaj8PK2l7WJ3RER9xtqwdhxkhw/edit?usp=sharing"",""สุพรรณบุรี!M333"")"),0)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IFERROR(__xludf.DUMMYFUNCTION("IMPORTRANGE(""https://docs.google.com/spreadsheets/d/1SX6NBoVAgQJ6U1MVXOaj8PK2l7WJ3RER9xtqwdhxkhw/edit?usp=sharing"",""สุพรรณบุรี!L334"")"),166500)</f>
        <v>166500</v>
      </c>
      <c r="M439" s="170"/>
      <c r="N439" s="170">
        <f ca="1">IFERROR(__xludf.DUMMYFUNCTION("IMPORTRANGE(""https://docs.google.com/spreadsheets/d/1SX6NBoVAgQJ6U1MVXOaj8PK2l7WJ3RER9xtqwdhxkhw/edit?usp=sharing"",""สุพรรณบุรี!M334"")"),135520)</f>
        <v>135520</v>
      </c>
      <c r="O439" s="170">
        <f t="shared" ca="1" si="114"/>
        <v>81.393393393393396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IFERROR(__xludf.DUMMYFUNCTION("IMPORTRANGE(""https://docs.google.com/spreadsheets/d/1SX6NBoVAgQJ6U1MVXOaj8PK2l7WJ3RER9xtqwdhxkhw/edit?usp=sharing"",""สุพรรณบุรี!M335"")"),95250)</f>
        <v>95250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IFERROR(__xludf.DUMMYFUNCTION("IMPORTRANGE(""https://docs.google.com/spreadsheets/d/1SX6NBoVAgQJ6U1MVXOaj8PK2l7WJ3RER9xtqwdhxkhw/edit?usp=sharing"",""สุพรรณบุรี!M338"")"),40270)</f>
        <v>40270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IFERROR(__xludf.DUMMYFUNCTION("IMPORTRANGE(""https://docs.google.com/spreadsheets/d/1SX6NBoVAgQJ6U1MVXOaj8PK2l7WJ3RER9xtqwdhxkhw/edit?usp=sharing"",""สุพรรณบุรี!J342"")"),1)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IFERROR(__xludf.DUMMYFUNCTION("IMPORTRANGE(""https://docs.google.com/spreadsheets/d/1SX6NBoVAgQJ6U1MVXOaj8PK2l7WJ3RER9xtqwdhxkhw/edit?usp=sharing"",""สุพรรณบุรี!J343"")"),1)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2">
        <f ca="1">IFERROR(__xludf.DUMMYFUNCTION("IMPORTRANGE(""https://docs.google.com/spreadsheets/d/1SX6NBoVAgQJ6U1MVXOaj8PK2l7WJ3RER9xtqwdhxkhw/edit?usp=sharing"",""สุพรรณบุรี!J344"")"),15)</f>
        <v>15</v>
      </c>
      <c r="K449" s="165">
        <f t="shared" ref="K449:K452" ca="1" si="115">IF(I449&gt;0,J449*100/I449,0)</f>
        <v>33.333333333333336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IFERROR(__xludf.DUMMYFUNCTION("IMPORTRANGE(""https://docs.google.com/spreadsheets/d/1SX6NBoVAgQJ6U1MVXOaj8PK2l7WJ3RER9xtqwdhxkhw/edit?usp=sharing"",""สุพรรณบุรี!I345"")"),15)</f>
        <v>15</v>
      </c>
      <c r="J450" s="190">
        <f ca="1">IFERROR(__xludf.DUMMYFUNCTION("IMPORTRANGE(""https://docs.google.com/spreadsheets/d/1SX6NBoVAgQJ6U1MVXOaj8PK2l7WJ3RER9xtqwdhxkhw/edit?usp=sharing"",""สุพรรณบุรี!J345"")"),15)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IFERROR(__xludf.DUMMYFUNCTION("IMPORTRANGE(""https://docs.google.com/spreadsheets/d/1SX6NBoVAgQJ6U1MVXOaj8PK2l7WJ3RER9xtqwdhxkhw/edit?usp=sharing"",""สุพรรณบุรี!I346"")"),30)</f>
        <v>30</v>
      </c>
      <c r="J451" s="189">
        <f ca="1">IFERROR(__xludf.DUMMYFUNCTION("IMPORTRANGE(""https://docs.google.com/spreadsheets/d/1SX6NBoVAgQJ6U1MVXOaj8PK2l7WJ3RER9xtqwdhxkhw/edit?usp=sharing"",""สุพรรณบุรี!J346"")"),0)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IFERROR(__xludf.DUMMYFUNCTION("IMPORTRANGE(""https://docs.google.com/spreadsheets/d/1SX6NBoVAgQJ6U1MVXOaj8PK2l7WJ3RER9xtqwdhxkhw/edit?usp=sharing"",""สุพรรณบุรี!I347"")"),0)</f>
        <v>0</v>
      </c>
      <c r="J452" s="189">
        <f ca="1">IFERROR(__xludf.DUMMYFUNCTION("IMPORTRANGE(""https://docs.google.com/spreadsheets/d/1SX6NBoVAgQJ6U1MVXOaj8PK2l7WJ3RER9xtqwdhxkhw/edit?usp=sharing"",""สุพรรณบุรี!J347"")"),0)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IFERROR(__xludf.DUMMYFUNCTION("IMPORTRANGE(""https://docs.google.com/spreadsheets/d/1SX6NBoVAgQJ6U1MVXOaj8PK2l7WJ3RER9xtqwdhxkhw/edit?usp=sharing"",""สุพรรณบุรี!J348"")"),0)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IFERROR(__xludf.DUMMYFUNCTION("IMPORTRANGE(""https://docs.google.com/spreadsheets/d/1SX6NBoVAgQJ6U1MVXOaj8PK2l7WJ3RER9xtqwdhxkhw/edit?usp=sharing"",""สุพรรณบุรี!J349"")"),0)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IFERROR(__xludf.DUMMYFUNCTION("IMPORTRANGE(""https://docs.google.com/spreadsheets/d/1SX6NBoVAgQJ6U1MVXOaj8PK2l7WJ3RER9xtqwdhxkhw/edit?usp=sharing"",""สุพรรณบุรี!L350"")"),473295)</f>
        <v>473295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IFERROR(__xludf.DUMMYFUNCTION("IMPORTRANGE(""https://docs.google.com/spreadsheets/d/1SX6NBoVAgQJ6U1MVXOaj8PK2l7WJ3RER9xtqwdhxkhw/edit?usp=sharing"",""สุพรรณบุรี!M350"")"),95236.73)</f>
        <v>95236.73</v>
      </c>
      <c r="O455" s="373">
        <f t="shared" ref="O455:O459" ca="1" si="116">+IF(L455&gt;0,N455*100/L455,0)</f>
        <v>20.122065519390656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IFERROR(__xludf.DUMMYFUNCTION("IMPORTRANGE(""https://docs.google.com/spreadsheets/d/1SX6NBoVAgQJ6U1MVXOaj8PK2l7WJ3RER9xtqwdhxkhw/edit?usp=sharing"",""สุพรรณบุรี!L351"")"),0)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IFERROR(__xludf.DUMMYFUNCTION("IMPORTRANGE(""https://docs.google.com/spreadsheets/d/1SX6NBoVAgQJ6U1MVXOaj8PK2l7WJ3RER9xtqwdhxkhw/edit?usp=sharing"",""สุพรรณบุรี!M351"")"),0)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IFERROR(__xludf.DUMMYFUNCTION("IMPORTRANGE(""https://docs.google.com/spreadsheets/d/1SX6NBoVAgQJ6U1MVXOaj8PK2l7WJ3RER9xtqwdhxkhw/edit?usp=sharing"",""สุพรรณบุรี!L352"")"),473295)</f>
        <v>473295</v>
      </c>
      <c r="M457" s="167"/>
      <c r="N457" s="170">
        <f ca="1">IFERROR(__xludf.DUMMYFUNCTION("IMPORTRANGE(""https://docs.google.com/spreadsheets/d/1SX6NBoVAgQJ6U1MVXOaj8PK2l7WJ3RER9xtqwdhxkhw/edit?usp=sharing"",""สุพรรณบุรี!M352"")"),95236.73)</f>
        <v>95236.73</v>
      </c>
      <c r="O457" s="170">
        <f t="shared" ca="1" si="116"/>
        <v>20.122065519390656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IFERROR(__xludf.DUMMYFUNCTION("IMPORTRANGE(""https://docs.google.com/spreadsheets/d/1SX6NBoVAgQJ6U1MVXOaj8PK2l7WJ3RER9xtqwdhxkhw/edit?usp=sharing"",""สุพรรณบุรี!L353"")"),0)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IFERROR(__xludf.DUMMYFUNCTION("IMPORTRANGE(""https://docs.google.com/spreadsheets/d/1SX6NBoVAgQJ6U1MVXOaj8PK2l7WJ3RER9xtqwdhxkhw/edit?usp=sharing"",""สุพรรณบุรี!M353"")"),0)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IFERROR(__xludf.DUMMYFUNCTION("IMPORTRANGE(""https://docs.google.com/spreadsheets/d/1SX6NBoVAgQJ6U1MVXOaj8PK2l7WJ3RER9xtqwdhxkhw/edit?usp=sharing"",""สุพรรณบุรี!L354"")"),473295)</f>
        <v>473295</v>
      </c>
      <c r="M459" s="170"/>
      <c r="N459" s="170">
        <f ca="1">IFERROR(__xludf.DUMMYFUNCTION("IMPORTRANGE(""https://docs.google.com/spreadsheets/d/1SX6NBoVAgQJ6U1MVXOaj8PK2l7WJ3RER9xtqwdhxkhw/edit?usp=sharing"",""สุพรรณบุรี!M354"")"),95236.73)</f>
        <v>95236.73</v>
      </c>
      <c r="O459" s="170">
        <f t="shared" ca="1" si="116"/>
        <v>20.122065519390656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IFERROR(__xludf.DUMMYFUNCTION("IMPORTRANGE(""https://docs.google.com/spreadsheets/d/1SX6NBoVAgQJ6U1MVXOaj8PK2l7WJ3RER9xtqwdhxkhw/edit?usp=sharing"",""สุพรรณบุรี!M355"")"),0)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IFERROR(__xludf.DUMMYFUNCTION("IMPORTRANGE(""https://docs.google.com/spreadsheets/d/1SX6NBoVAgQJ6U1MVXOaj8PK2l7WJ3RER9xtqwdhxkhw/edit?usp=sharing"",""สุพรรณบุรี!M356"")"),0)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IFERROR(__xludf.DUMMYFUNCTION("IMPORTRANGE(""https://docs.google.com/spreadsheets/d/1SX6NBoVAgQJ6U1MVXOaj8PK2l7WJ3RER9xtqwdhxkhw/edit?usp=sharing"",""สุพรรณบุรี!M357"")"),58838.73)</f>
        <v>58838.73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IFERROR(__xludf.DUMMYFUNCTION("IMPORTRANGE(""https://docs.google.com/spreadsheets/d/1SX6NBoVAgQJ6U1MVXOaj8PK2l7WJ3RER9xtqwdhxkhw/edit?usp=sharing"",""สุพรรณบุรี!M358"")"),36398)</f>
        <v>36398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IFERROR(__xludf.DUMMYFUNCTION("IMPORTRANGE(""https://docs.google.com/spreadsheets/d/1SX6NBoVAgQJ6U1MVXOaj8PK2l7WJ3RER9xtqwdhxkhw/edit?usp=sharing"",""สุพรรณบุรี!I362"")"),0)</f>
        <v>0</v>
      </c>
      <c r="J467" s="190">
        <f ca="1">IFERROR(__xludf.DUMMYFUNCTION("IMPORTRANGE(""https://docs.google.com/spreadsheets/d/1SX6NBoVAgQJ6U1MVXOaj8PK2l7WJ3RER9xtqwdhxkhw/edit?usp=sharing"",""สุพรรณบุรี!J362"")"),0)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IFERROR(__xludf.DUMMYFUNCTION("IMPORTRANGE(""https://docs.google.com/spreadsheets/d/1SX6NBoVAgQJ6U1MVXOaj8PK2l7WJ3RER9xtqwdhxkhw/edit?usp=sharing"",""สุพรรณบุรี!I363"")"),0)</f>
        <v>0</v>
      </c>
      <c r="J468" s="190">
        <f ca="1">IFERROR(__xludf.DUMMYFUNCTION("IMPORTRANGE(""https://docs.google.com/spreadsheets/d/1SX6NBoVAgQJ6U1MVXOaj8PK2l7WJ3RER9xtqwdhxkhw/edit?usp=sharing"",""สุพรรณบุรี!J363"")"),0)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IFERROR(__xludf.DUMMYFUNCTION("IMPORTRANGE(""https://docs.google.com/spreadsheets/d/1SX6NBoVAgQJ6U1MVXOaj8PK2l7WJ3RER9xtqwdhxkhw/edit?usp=sharing"",""สุพรรณบุรี!I364"")"),0)</f>
        <v>0</v>
      </c>
      <c r="J469" s="190">
        <f ca="1">IFERROR(__xludf.DUMMYFUNCTION("IMPORTRANGE(""https://docs.google.com/spreadsheets/d/1SX6NBoVAgQJ6U1MVXOaj8PK2l7WJ3RER9xtqwdhxkhw/edit?usp=sharing"",""สุพรรณบุรี!J364"")"),0)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IFERROR(__xludf.DUMMYFUNCTION("IMPORTRANGE(""https://docs.google.com/spreadsheets/d/1SX6NBoVAgQJ6U1MVXOaj8PK2l7WJ3RER9xtqwdhxkhw/edit?usp=sharing"",""สุพรรณบุรี!I365"")"),0)</f>
        <v>0</v>
      </c>
      <c r="J470" s="190">
        <f ca="1">IFERROR(__xludf.DUMMYFUNCTION("IMPORTRANGE(""https://docs.google.com/spreadsheets/d/1SX6NBoVAgQJ6U1MVXOaj8PK2l7WJ3RER9xtqwdhxkhw/edit?usp=sharing"",""สุพรรณบุรี!J365"")"),0)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IFERROR(__xludf.DUMMYFUNCTION("IMPORTRANGE(""https://docs.google.com/spreadsheets/d/1SX6NBoVAgQJ6U1MVXOaj8PK2l7WJ3RER9xtqwdhxkhw/edit?usp=sharing"",""สุพรรณบุรี!I366"")"),0)</f>
        <v>0</v>
      </c>
      <c r="J471" s="190">
        <f ca="1">IFERROR(__xludf.DUMMYFUNCTION("IMPORTRANGE(""https://docs.google.com/spreadsheets/d/1SX6NBoVAgQJ6U1MVXOaj8PK2l7WJ3RER9xtqwdhxkhw/edit?usp=sharing"",""สุพรรณบุรี!J366"")"),0)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IFERROR(__xludf.DUMMYFUNCTION("IMPORTRANGE(""https://docs.google.com/spreadsheets/d/1SX6NBoVAgQJ6U1MVXOaj8PK2l7WJ3RER9xtqwdhxkhw/edit?usp=sharing"",""สุพรรณบุรี!I367"")"),0)</f>
        <v>0</v>
      </c>
      <c r="J472" s="190">
        <f ca="1">IFERROR(__xludf.DUMMYFUNCTION("IMPORTRANGE(""https://docs.google.com/spreadsheets/d/1SX6NBoVAgQJ6U1MVXOaj8PK2l7WJ3RER9xtqwdhxkhw/edit?usp=sharing"",""สุพรรณบุรี!J367"")"),0)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IFERROR(__xludf.DUMMYFUNCTION("IMPORTRANGE(""https://docs.google.com/spreadsheets/d/1SX6NBoVAgQJ6U1MVXOaj8PK2l7WJ3RER9xtqwdhxkhw/edit?usp=sharing"",""สุพรรณบุรี!I370"")"),0)</f>
        <v>0</v>
      </c>
      <c r="J475" s="190">
        <f ca="1">IFERROR(__xludf.DUMMYFUNCTION("IMPORTRANGE(""https://docs.google.com/spreadsheets/d/1SX6NBoVAgQJ6U1MVXOaj8PK2l7WJ3RER9xtqwdhxkhw/edit?usp=sharing"",""สุพรรณบุรี!J370"")"),0)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IFERROR(__xludf.DUMMYFUNCTION("IMPORTRANGE(""https://docs.google.com/spreadsheets/d/1SX6NBoVAgQJ6U1MVXOaj8PK2l7WJ3RER9xtqwdhxkhw/edit?usp=sharing"",""สุพรรณบุรี!I371"")"),0)</f>
        <v>0</v>
      </c>
      <c r="J476" s="190">
        <f ca="1">IFERROR(__xludf.DUMMYFUNCTION("IMPORTRANGE(""https://docs.google.com/spreadsheets/d/1SX6NBoVAgQJ6U1MVXOaj8PK2l7WJ3RER9xtqwdhxkhw/edit?usp=sharing"",""สุพรรณบุรี!J371"")"),0)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IFERROR(__xludf.DUMMYFUNCTION("IMPORTRANGE(""https://docs.google.com/spreadsheets/d/1SX6NBoVAgQJ6U1MVXOaj8PK2l7WJ3RER9xtqwdhxkhw/edit?usp=sharing"",""สุพรรณบุรี!I372"")"),0)</f>
        <v>0</v>
      </c>
      <c r="J477" s="190">
        <f ca="1">IFERROR(__xludf.DUMMYFUNCTION("IMPORTRANGE(""https://docs.google.com/spreadsheets/d/1SX6NBoVAgQJ6U1MVXOaj8PK2l7WJ3RER9xtqwdhxkhw/edit?usp=sharing"",""สุพรรณบุรี!J372"")"),0)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IFERROR(__xludf.DUMMYFUNCTION("IMPORTRANGE(""https://docs.google.com/spreadsheets/d/1SX6NBoVAgQJ6U1MVXOaj8PK2l7WJ3RER9xtqwdhxkhw/edit?usp=sharing"",""สุพรรณบุรี!I373"")"),0)</f>
        <v>0</v>
      </c>
      <c r="J478" s="190">
        <f ca="1">IFERROR(__xludf.DUMMYFUNCTION("IMPORTRANGE(""https://docs.google.com/spreadsheets/d/1SX6NBoVAgQJ6U1MVXOaj8PK2l7WJ3RER9xtqwdhxkhw/edit?usp=sharing"",""สุพรรณบุรี!J373"")"),0)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IFERROR(__xludf.DUMMYFUNCTION("IMPORTRANGE(""https://docs.google.com/spreadsheets/d/1SX6NBoVAgQJ6U1MVXOaj8PK2l7WJ3RER9xtqwdhxkhw/edit?usp=sharing"",""สุพรรณบุรี!I374"")"),0)</f>
        <v>0</v>
      </c>
      <c r="J479" s="190">
        <f ca="1">IFERROR(__xludf.DUMMYFUNCTION("IMPORTRANGE(""https://docs.google.com/spreadsheets/d/1SX6NBoVAgQJ6U1MVXOaj8PK2l7WJ3RER9xtqwdhxkhw/edit?usp=sharing"",""สุพรรณบุรี!J374"")"),0)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IFERROR(__xludf.DUMMYFUNCTION("IMPORTRANGE(""https://docs.google.com/spreadsheets/d/1SX6NBoVAgQJ6U1MVXOaj8PK2l7WJ3RER9xtqwdhxkhw/edit?usp=sharing"",""สุพรรณบุรี!I375"")"),0)</f>
        <v>0</v>
      </c>
      <c r="J480" s="190">
        <f ca="1">IFERROR(__xludf.DUMMYFUNCTION("IMPORTRANGE(""https://docs.google.com/spreadsheets/d/1SX6NBoVAgQJ6U1MVXOaj8PK2l7WJ3RER9xtqwdhxkhw/edit?usp=sharing"",""สุพรรณบุรี!J375"")"),0)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IFERROR(__xludf.DUMMYFUNCTION("IMPORTRANGE(""https://docs.google.com/spreadsheets/d/1SX6NBoVAgQJ6U1MVXOaj8PK2l7WJ3RER9xtqwdhxkhw/edit?usp=sharing"",""สุพรรณบุรี!I378"")"),0)</f>
        <v>0</v>
      </c>
      <c r="J483" s="190">
        <f ca="1">IFERROR(__xludf.DUMMYFUNCTION("IMPORTRANGE(""https://docs.google.com/spreadsheets/d/1SX6NBoVAgQJ6U1MVXOaj8PK2l7WJ3RER9xtqwdhxkhw/edit?usp=sharing"",""สุพรรณบุรี!J378"")"),0)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IFERROR(__xludf.DUMMYFUNCTION("IMPORTRANGE(""https://docs.google.com/spreadsheets/d/1SX6NBoVAgQJ6U1MVXOaj8PK2l7WJ3RER9xtqwdhxkhw/edit?usp=sharing"",""สุพรรณบุรี!I379"")"),0)</f>
        <v>0</v>
      </c>
      <c r="J484" s="190">
        <f ca="1">IFERROR(__xludf.DUMMYFUNCTION("IMPORTRANGE(""https://docs.google.com/spreadsheets/d/1SX6NBoVAgQJ6U1MVXOaj8PK2l7WJ3RER9xtqwdhxkhw/edit?usp=sharing"",""สุพรรณบุรี!J379"")"),0)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IFERROR(__xludf.DUMMYFUNCTION("IMPORTRANGE(""https://docs.google.com/spreadsheets/d/1SX6NBoVAgQJ6U1MVXOaj8PK2l7WJ3RER9xtqwdhxkhw/edit?usp=sharing"",""สุพรรณบุรี!I380"")"),0)</f>
        <v>0</v>
      </c>
      <c r="J485" s="190">
        <f ca="1">IFERROR(__xludf.DUMMYFUNCTION("IMPORTRANGE(""https://docs.google.com/spreadsheets/d/1SX6NBoVAgQJ6U1MVXOaj8PK2l7WJ3RER9xtqwdhxkhw/edit?usp=sharing"",""สุพรรณบุรี!J380"")"),0)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IFERROR(__xludf.DUMMYFUNCTION("IMPORTRANGE(""https://docs.google.com/spreadsheets/d/1SX6NBoVAgQJ6U1MVXOaj8PK2l7WJ3RER9xtqwdhxkhw/edit?usp=sharing"",""สุพรรณบุรี!I381"")"),0)</f>
        <v>0</v>
      </c>
      <c r="J486" s="190">
        <f ca="1">IFERROR(__xludf.DUMMYFUNCTION("IMPORTRANGE(""https://docs.google.com/spreadsheets/d/1SX6NBoVAgQJ6U1MVXOaj8PK2l7WJ3RER9xtqwdhxkhw/edit?usp=sharing"",""สุพรรณบุรี!J381"")"),0)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IFERROR(__xludf.DUMMYFUNCTION("IMPORTRANGE(""https://docs.google.com/spreadsheets/d/1SX6NBoVAgQJ6U1MVXOaj8PK2l7WJ3RER9xtqwdhxkhw/edit?usp=sharing"",""สุพรรณบุรี!I384"")"),0)</f>
        <v>0</v>
      </c>
      <c r="J489" s="190">
        <f ca="1">IFERROR(__xludf.DUMMYFUNCTION("IMPORTRANGE(""https://docs.google.com/spreadsheets/d/1SX6NBoVAgQJ6U1MVXOaj8PK2l7WJ3RER9xtqwdhxkhw/edit?usp=sharing"",""สุพรรณบุรี!J384"")"),0)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IFERROR(__xludf.DUMMYFUNCTION("IMPORTRANGE(""https://docs.google.com/spreadsheets/d/1SX6NBoVAgQJ6U1MVXOaj8PK2l7WJ3RER9xtqwdhxkhw/edit?usp=sharing"",""สุพรรณบุรี!I385"")"),0)</f>
        <v>0</v>
      </c>
      <c r="J490" s="190">
        <f ca="1">IFERROR(__xludf.DUMMYFUNCTION("IMPORTRANGE(""https://docs.google.com/spreadsheets/d/1SX6NBoVAgQJ6U1MVXOaj8PK2l7WJ3RER9xtqwdhxkhw/edit?usp=sharing"",""สุพรรณบุรี!J385"")"),0)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IFERROR(__xludf.DUMMYFUNCTION("IMPORTRANGE(""https://docs.google.com/spreadsheets/d/1SX6NBoVAgQJ6U1MVXOaj8PK2l7WJ3RER9xtqwdhxkhw/edit?usp=sharing"",""สุพรรณบุรี!I386"")"),0)</f>
        <v>0</v>
      </c>
      <c r="J491" s="190">
        <f ca="1">IFERROR(__xludf.DUMMYFUNCTION("IMPORTRANGE(""https://docs.google.com/spreadsheets/d/1SX6NBoVAgQJ6U1MVXOaj8PK2l7WJ3RER9xtqwdhxkhw/edit?usp=sharing"",""สุพรรณบุรี!J386"")"),0)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IFERROR(__xludf.DUMMYFUNCTION("IMPORTRANGE(""https://docs.google.com/spreadsheets/d/1SX6NBoVAgQJ6U1MVXOaj8PK2l7WJ3RER9xtqwdhxkhw/edit?usp=sharing"",""สุพรรณบุรี!I387"")"),0)</f>
        <v>0</v>
      </c>
      <c r="J492" s="190">
        <f ca="1">IFERROR(__xludf.DUMMYFUNCTION("IMPORTRANGE(""https://docs.google.com/spreadsheets/d/1SX6NBoVAgQJ6U1MVXOaj8PK2l7WJ3RER9xtqwdhxkhw/edit?usp=sharing"",""สุพรรณบุรี!J387"")"),0)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IFERROR(__xludf.DUMMYFUNCTION("IMPORTRANGE(""https://docs.google.com/spreadsheets/d/1SX6NBoVAgQJ6U1MVXOaj8PK2l7WJ3RER9xtqwdhxkhw/edit?usp=sharing"",""สุพรรณบุรี!I388"")"),0)</f>
        <v>0</v>
      </c>
      <c r="J493" s="190">
        <f ca="1">IFERROR(__xludf.DUMMYFUNCTION("IMPORTRANGE(""https://docs.google.com/spreadsheets/d/1SX6NBoVAgQJ6U1MVXOaj8PK2l7WJ3RER9xtqwdhxkhw/edit?usp=sharing"",""สุพรรณบุรี!J388"")"),0)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IFERROR(__xludf.DUMMYFUNCTION("IMPORTRANGE(""https://docs.google.com/spreadsheets/d/1SX6NBoVAgQJ6U1MVXOaj8PK2l7WJ3RER9xtqwdhxkhw/edit?usp=sharing"",""สุพรรณบุรี!I395"")"),0)</f>
        <v>0</v>
      </c>
      <c r="J500" s="164">
        <f ca="1">IFERROR(__xludf.DUMMYFUNCTION("IMPORTRANGE(""https://docs.google.com/spreadsheets/d/1SX6NBoVAgQJ6U1MVXOaj8PK2l7WJ3RER9xtqwdhxkhw/edit?usp=sharing"",""สุพรรณบุรี!J395"")"),0)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IFERROR(__xludf.DUMMYFUNCTION("IMPORTRANGE(""https://docs.google.com/spreadsheets/d/1SX6NBoVAgQJ6U1MVXOaj8PK2l7WJ3RER9xtqwdhxkhw/edit?usp=sharing"",""สุพรรณบุรี!I396"")"),0)</f>
        <v>0</v>
      </c>
      <c r="J501" s="164">
        <f ca="1">IFERROR(__xludf.DUMMYFUNCTION("IMPORTRANGE(""https://docs.google.com/spreadsheets/d/1SX6NBoVAgQJ6U1MVXOaj8PK2l7WJ3RER9xtqwdhxkhw/edit?usp=sharing"",""สุพรรณบุรี!J396"")"),0)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IFERROR(__xludf.DUMMYFUNCTION("IMPORTRANGE(""https://docs.google.com/spreadsheets/d/1SX6NBoVAgQJ6U1MVXOaj8PK2l7WJ3RER9xtqwdhxkhw/edit?usp=sharing"",""สุพรรณบุรี!I397"")"),0)</f>
        <v>0</v>
      </c>
      <c r="J502" s="190">
        <f ca="1">IFERROR(__xludf.DUMMYFUNCTION("IMPORTRANGE(""https://docs.google.com/spreadsheets/d/1SX6NBoVAgQJ6U1MVXOaj8PK2l7WJ3RER9xtqwdhxkhw/edit?usp=sharing"",""สุพรรณบุรี!J397"")"),0)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IFERROR(__xludf.DUMMYFUNCTION("IMPORTRANGE(""https://docs.google.com/spreadsheets/d/1SX6NBoVAgQJ6U1MVXOaj8PK2l7WJ3RER9xtqwdhxkhw/edit?usp=sharing"",""สุพรรณบุรี!I398"")"),0)</f>
        <v>0</v>
      </c>
      <c r="J503" s="199">
        <f ca="1">IFERROR(__xludf.DUMMYFUNCTION("IMPORTRANGE(""https://docs.google.com/spreadsheets/d/1SX6NBoVAgQJ6U1MVXOaj8PK2l7WJ3RER9xtqwdhxkhw/edit?usp=sharing"",""สุพรรณบุรี!J398"")"),0)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IFERROR(__xludf.DUMMYFUNCTION("IMPORTRANGE(""https://docs.google.com/spreadsheets/d/1SX6NBoVAgQJ6U1MVXOaj8PK2l7WJ3RER9xtqwdhxkhw/edit?usp=sharing"",""สุพรรณบุรี!I399"")"),0)</f>
        <v>0</v>
      </c>
      <c r="J504" s="190">
        <f ca="1">IFERROR(__xludf.DUMMYFUNCTION("IMPORTRANGE(""https://docs.google.com/spreadsheets/d/1SX6NBoVAgQJ6U1MVXOaj8PK2l7WJ3RER9xtqwdhxkhw/edit?usp=sharing"",""สุพรรณบุรี!J399"")"),0)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IFERROR(__xludf.DUMMYFUNCTION("IMPORTRANGE(""https://docs.google.com/spreadsheets/d/1SX6NBoVAgQJ6U1MVXOaj8PK2l7WJ3RER9xtqwdhxkhw/edit?usp=sharing"",""สุพรรณบุรี!I400"")"),0)</f>
        <v>0</v>
      </c>
      <c r="J505" s="199">
        <f ca="1">IFERROR(__xludf.DUMMYFUNCTION("IMPORTRANGE(""https://docs.google.com/spreadsheets/d/1SX6NBoVAgQJ6U1MVXOaj8PK2l7WJ3RER9xtqwdhxkhw/edit?usp=sharing"",""สุพรรณบุรี!J400"")"),0)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IFERROR(__xludf.DUMMYFUNCTION("IMPORTRANGE(""https://docs.google.com/spreadsheets/d/1SX6NBoVAgQJ6U1MVXOaj8PK2l7WJ3RER9xtqwdhxkhw/edit?usp=sharing"",""สุพรรณบุรี!I401"")"),0)</f>
        <v>0</v>
      </c>
      <c r="J506" s="190">
        <f ca="1">IFERROR(__xludf.DUMMYFUNCTION("IMPORTRANGE(""https://docs.google.com/spreadsheets/d/1SX6NBoVAgQJ6U1MVXOaj8PK2l7WJ3RER9xtqwdhxkhw/edit?usp=sharing"",""สุพรรณบุรี!J401"")"),0)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IFERROR(__xludf.DUMMYFUNCTION("IMPORTRANGE(""https://docs.google.com/spreadsheets/d/1SX6NBoVAgQJ6U1MVXOaj8PK2l7WJ3RER9xtqwdhxkhw/edit?usp=sharing"",""สุพรรณบุรี!I402"")"),0)</f>
        <v>0</v>
      </c>
      <c r="J507" s="199">
        <f ca="1">IFERROR(__xludf.DUMMYFUNCTION("IMPORTRANGE(""https://docs.google.com/spreadsheets/d/1SX6NBoVAgQJ6U1MVXOaj8PK2l7WJ3RER9xtqwdhxkhw/edit?usp=sharing"",""สุพรรณบุรี!J402"")"),0)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IFERROR(__xludf.DUMMYFUNCTION("IMPORTRANGE(""https://docs.google.com/spreadsheets/d/1SX6NBoVAgQJ6U1MVXOaj8PK2l7WJ3RER9xtqwdhxkhw/edit?usp=sharing"",""สุพรรณบุรี!I403"")"),0)</f>
        <v>0</v>
      </c>
      <c r="J508" s="164">
        <f ca="1">IFERROR(__xludf.DUMMYFUNCTION("IMPORTRANGE(""https://docs.google.com/spreadsheets/d/1SX6NBoVAgQJ6U1MVXOaj8PK2l7WJ3RER9xtqwdhxkhw/edit?usp=sharing"",""สุพรรณบุรี!J403"")"),0)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IFERROR(__xludf.DUMMYFUNCTION("IMPORTRANGE(""https://docs.google.com/spreadsheets/d/1SX6NBoVAgQJ6U1MVXOaj8PK2l7WJ3RER9xtqwdhxkhw/edit?usp=sharing"",""สุพรรณบุรี!I404"")"),0)</f>
        <v>0</v>
      </c>
      <c r="J509" s="164">
        <f ca="1">IFERROR(__xludf.DUMMYFUNCTION("IMPORTRANGE(""https://docs.google.com/spreadsheets/d/1SX6NBoVAgQJ6U1MVXOaj8PK2l7WJ3RER9xtqwdhxkhw/edit?usp=sharing"",""สุพรรณบุรี!J404"")"),0)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IFERROR(__xludf.DUMMYFUNCTION("IMPORTRANGE(""https://docs.google.com/spreadsheets/d/1SX6NBoVAgQJ6U1MVXOaj8PK2l7WJ3RER9xtqwdhxkhw/edit?usp=sharing"",""สุพรรณบุรี!I405"")"),0)</f>
        <v>0</v>
      </c>
      <c r="J510" s="199">
        <f ca="1">IFERROR(__xludf.DUMMYFUNCTION("IMPORTRANGE(""https://docs.google.com/spreadsheets/d/1SX6NBoVAgQJ6U1MVXOaj8PK2l7WJ3RER9xtqwdhxkhw/edit?usp=sharing"",""สุพรรณบุรี!J405"")"),0)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IFERROR(__xludf.DUMMYFUNCTION("IMPORTRANGE(""https://docs.google.com/spreadsheets/d/1SX6NBoVAgQJ6U1MVXOaj8PK2l7WJ3RER9xtqwdhxkhw/edit?usp=sharing"",""สุพรรณบุรี!I406"")"),0)</f>
        <v>0</v>
      </c>
      <c r="J511" s="199">
        <f ca="1">IFERROR(__xludf.DUMMYFUNCTION("IMPORTRANGE(""https://docs.google.com/spreadsheets/d/1SX6NBoVAgQJ6U1MVXOaj8PK2l7WJ3RER9xtqwdhxkhw/edit?usp=sharing"",""สุพรรณบุรี!J406"")"),0)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IFERROR(__xludf.DUMMYFUNCTION("IMPORTRANGE(""https://docs.google.com/spreadsheets/d/1SX6NBoVAgQJ6U1MVXOaj8PK2l7WJ3RER9xtqwdhxkhw/edit?usp=sharing"",""สุพรรณบุรี!I407"")"),0)</f>
        <v>0</v>
      </c>
      <c r="J512" s="199">
        <f ca="1">IFERROR(__xludf.DUMMYFUNCTION("IMPORTRANGE(""https://docs.google.com/spreadsheets/d/1SX6NBoVAgQJ6U1MVXOaj8PK2l7WJ3RER9xtqwdhxkhw/edit?usp=sharing"",""สุพรรณบุรี!J407"")"),0)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IFERROR(__xludf.DUMMYFUNCTION("IMPORTRANGE(""https://docs.google.com/spreadsheets/d/1SX6NBoVAgQJ6U1MVXOaj8PK2l7WJ3RER9xtqwdhxkhw/edit?usp=sharing"",""สุพรรณบุรี!I408"")"),0)</f>
        <v>0</v>
      </c>
      <c r="J513" s="199">
        <f ca="1">IFERROR(__xludf.DUMMYFUNCTION("IMPORTRANGE(""https://docs.google.com/spreadsheets/d/1SX6NBoVAgQJ6U1MVXOaj8PK2l7WJ3RER9xtqwdhxkhw/edit?usp=sharing"",""สุพรรณบุรี!J408"")"),0)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IFERROR(__xludf.DUMMYFUNCTION("IMPORTRANGE(""https://docs.google.com/spreadsheets/d/1SX6NBoVAgQJ6U1MVXOaj8PK2l7WJ3RER9xtqwdhxkhw/edit?usp=sharing"",""สุพรรณบุรี!I409"")"),0)</f>
        <v>0</v>
      </c>
      <c r="J514" s="199">
        <f ca="1">IFERROR(__xludf.DUMMYFUNCTION("IMPORTRANGE(""https://docs.google.com/spreadsheets/d/1SX6NBoVAgQJ6U1MVXOaj8PK2l7WJ3RER9xtqwdhxkhw/edit?usp=sharing"",""สุพรรณบุรี!J409"")"),0)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IFERROR(__xludf.DUMMYFUNCTION("IMPORTRANGE(""https://docs.google.com/spreadsheets/d/1SX6NBoVAgQJ6U1MVXOaj8PK2l7WJ3RER9xtqwdhxkhw/edit?usp=sharing"",""สุพรรณบุรี!I410"")"),0)</f>
        <v>0</v>
      </c>
      <c r="J515" s="199">
        <f ca="1">IFERROR(__xludf.DUMMYFUNCTION("IMPORTRANGE(""https://docs.google.com/spreadsheets/d/1SX6NBoVAgQJ6U1MVXOaj8PK2l7WJ3RER9xtqwdhxkhw/edit?usp=sharing"",""สุพรรณบุรี!J410"")"),0)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IFERROR(__xludf.DUMMYFUNCTION("IMPORTRANGE(""https://docs.google.com/spreadsheets/d/1SX6NBoVAgQJ6U1MVXOaj8PK2l7WJ3RER9xtqwdhxkhw/edit?usp=sharing"",""สุพรรณบุรี!I412"")"),0)</f>
        <v>0</v>
      </c>
      <c r="J517" s="284">
        <f ca="1">IFERROR(__xludf.DUMMYFUNCTION("IMPORTRANGE(""https://docs.google.com/spreadsheets/d/1SX6NBoVAgQJ6U1MVXOaj8PK2l7WJ3RER9xtqwdhxkhw/edit?usp=sharing"",""สุพรรณบุรี!J412"")"),0)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IFERROR(__xludf.DUMMYFUNCTION("IMPORTRANGE(""https://docs.google.com/spreadsheets/d/1SX6NBoVAgQJ6U1MVXOaj8PK2l7WJ3RER9xtqwdhxkhw/edit?usp=sharing"",""สุพรรณบุรี!I413"")"),0)</f>
        <v>0</v>
      </c>
      <c r="J518" s="284">
        <f ca="1">IFERROR(__xludf.DUMMYFUNCTION("IMPORTRANGE(""https://docs.google.com/spreadsheets/d/1SX6NBoVAgQJ6U1MVXOaj8PK2l7WJ3RER9xtqwdhxkhw/edit?usp=sharing"",""สุพรรณบุรี!J413"")"),0)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IFERROR(__xludf.DUMMYFUNCTION("IMPORTRANGE(""https://docs.google.com/spreadsheets/d/1SX6NBoVAgQJ6U1MVXOaj8PK2l7WJ3RER9xtqwdhxkhw/edit?usp=sharing"",""สุพรรณบุรี!I414"")"),0)</f>
        <v>0</v>
      </c>
      <c r="J519" s="189">
        <f ca="1">IFERROR(__xludf.DUMMYFUNCTION("IMPORTRANGE(""https://docs.google.com/spreadsheets/d/1SX6NBoVAgQJ6U1MVXOaj8PK2l7WJ3RER9xtqwdhxkhw/edit?usp=sharing"",""สุพรรณบุรี!J414"")"),0)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IFERROR(__xludf.DUMMYFUNCTION("IMPORTRANGE(""https://docs.google.com/spreadsheets/d/1SX6NBoVAgQJ6U1MVXOaj8PK2l7WJ3RER9xtqwdhxkhw/edit?usp=sharing"",""สุพรรณบุรี!I415"")"),0)</f>
        <v>0</v>
      </c>
      <c r="J520" s="189">
        <f ca="1">IFERROR(__xludf.DUMMYFUNCTION("IMPORTRANGE(""https://docs.google.com/spreadsheets/d/1SX6NBoVAgQJ6U1MVXOaj8PK2l7WJ3RER9xtqwdhxkhw/edit?usp=sharing"",""สุพรรณบุรี!J415"")"),0)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IFERROR(__xludf.DUMMYFUNCTION("IMPORTRANGE(""https://docs.google.com/spreadsheets/d/1SX6NBoVAgQJ6U1MVXOaj8PK2l7WJ3RER9xtqwdhxkhw/edit?usp=sharing"",""สุพรรณบุรี!I416"")"),0)</f>
        <v>0</v>
      </c>
      <c r="J521" s="189">
        <f ca="1">IFERROR(__xludf.DUMMYFUNCTION("IMPORTRANGE(""https://docs.google.com/spreadsheets/d/1SX6NBoVAgQJ6U1MVXOaj8PK2l7WJ3RER9xtqwdhxkhw/edit?usp=sharing"",""สุพรรณบุรี!J416"")"),0)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IFERROR(__xludf.DUMMYFUNCTION("IMPORTRANGE(""https://docs.google.com/spreadsheets/d/1SX6NBoVAgQJ6U1MVXOaj8PK2l7WJ3RER9xtqwdhxkhw/edit?usp=sharing"",""สุพรรณบุรี!I417"")"),0)</f>
        <v>0</v>
      </c>
      <c r="J522" s="189">
        <f ca="1">IFERROR(__xludf.DUMMYFUNCTION("IMPORTRANGE(""https://docs.google.com/spreadsheets/d/1SX6NBoVAgQJ6U1MVXOaj8PK2l7WJ3RER9xtqwdhxkhw/edit?usp=sharing"",""สุพรรณบุรี!J417"")"),0)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IFERROR(__xludf.DUMMYFUNCTION("IMPORTRANGE(""https://docs.google.com/spreadsheets/d/1SX6NBoVAgQJ6U1MVXOaj8PK2l7WJ3RER9xtqwdhxkhw/edit?usp=sharing"",""สุพรรณบุรี!I418"")"),0)</f>
        <v>0</v>
      </c>
      <c r="J523" s="189">
        <f ca="1">IFERROR(__xludf.DUMMYFUNCTION("IMPORTRANGE(""https://docs.google.com/spreadsheets/d/1SX6NBoVAgQJ6U1MVXOaj8PK2l7WJ3RER9xtqwdhxkhw/edit?usp=sharing"",""สุพรรณบุรี!J418"")"),0)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IFERROR(__xludf.DUMMYFUNCTION("IMPORTRANGE(""https://docs.google.com/spreadsheets/d/1SX6NBoVAgQJ6U1MVXOaj8PK2l7WJ3RER9xtqwdhxkhw/edit?usp=sharing"",""สุพรรณบุรี!I419"")"),0)</f>
        <v>0</v>
      </c>
      <c r="J524" s="189">
        <f ca="1">IFERROR(__xludf.DUMMYFUNCTION("IMPORTRANGE(""https://docs.google.com/spreadsheets/d/1SX6NBoVAgQJ6U1MVXOaj8PK2l7WJ3RER9xtqwdhxkhw/edit?usp=sharing"",""สุพรรณบุรี!J419"")"),0)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IFERROR(__xludf.DUMMYFUNCTION("IMPORTRANGE(""https://docs.google.com/spreadsheets/d/1SX6NBoVAgQJ6U1MVXOaj8PK2l7WJ3RER9xtqwdhxkhw/edit?usp=sharing"",""สุพรรณบุรี!I420"")"),0)</f>
        <v>0</v>
      </c>
      <c r="J525" s="284">
        <f ca="1">IFERROR(__xludf.DUMMYFUNCTION("IMPORTRANGE(""https://docs.google.com/spreadsheets/d/1SX6NBoVAgQJ6U1MVXOaj8PK2l7WJ3RER9xtqwdhxkhw/edit?usp=sharing"",""สุพรรณบุรี!J420"")"),0)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IFERROR(__xludf.DUMMYFUNCTION("IMPORTRANGE(""https://docs.google.com/spreadsheets/d/1SX6NBoVAgQJ6U1MVXOaj8PK2l7WJ3RER9xtqwdhxkhw/edit?usp=sharing"",""สุพรรณบุรี!I421"")"),0)</f>
        <v>0</v>
      </c>
      <c r="J526" s="284">
        <f ca="1">IFERROR(__xludf.DUMMYFUNCTION("IMPORTRANGE(""https://docs.google.com/spreadsheets/d/1SX6NBoVAgQJ6U1MVXOaj8PK2l7WJ3RER9xtqwdhxkhw/edit?usp=sharing"",""สุพรรณบุรี!J421"")"),0)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IFERROR(__xludf.DUMMYFUNCTION("IMPORTRANGE(""https://docs.google.com/spreadsheets/d/1SX6NBoVAgQJ6U1MVXOaj8PK2l7WJ3RER9xtqwdhxkhw/edit?usp=sharing"",""สุพรรณบุรี!I422"")"),0)</f>
        <v>0</v>
      </c>
      <c r="J527" s="199">
        <f ca="1">IFERROR(__xludf.DUMMYFUNCTION("IMPORTRANGE(""https://docs.google.com/spreadsheets/d/1SX6NBoVAgQJ6U1MVXOaj8PK2l7WJ3RER9xtqwdhxkhw/edit?usp=sharing"",""สุพรรณบุรี!J422"")"),0)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IFERROR(__xludf.DUMMYFUNCTION("IMPORTRANGE(""https://docs.google.com/spreadsheets/d/1SX6NBoVAgQJ6U1MVXOaj8PK2l7WJ3RER9xtqwdhxkhw/edit?usp=sharing"",""สุพรรณบุรี!I423"")"),0)</f>
        <v>0</v>
      </c>
      <c r="J528" s="199">
        <f ca="1">IFERROR(__xludf.DUMMYFUNCTION("IMPORTRANGE(""https://docs.google.com/spreadsheets/d/1SX6NBoVAgQJ6U1MVXOaj8PK2l7WJ3RER9xtqwdhxkhw/edit?usp=sharing"",""สุพรรณบุรี!J423"")"),0)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IFERROR(__xludf.DUMMYFUNCTION("IMPORTRANGE(""https://docs.google.com/spreadsheets/d/1SX6NBoVAgQJ6U1MVXOaj8PK2l7WJ3RER9xtqwdhxkhw/edit?usp=sharing"",""สุพรรณบุรี!I424"")"),0)</f>
        <v>0</v>
      </c>
      <c r="J529" s="199">
        <f ca="1">IFERROR(__xludf.DUMMYFUNCTION("IMPORTRANGE(""https://docs.google.com/spreadsheets/d/1SX6NBoVAgQJ6U1MVXOaj8PK2l7WJ3RER9xtqwdhxkhw/edit?usp=sharing"",""สุพรรณบุรี!J424"")"),0)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IFERROR(__xludf.DUMMYFUNCTION("IMPORTRANGE(""https://docs.google.com/spreadsheets/d/1SX6NBoVAgQJ6U1MVXOaj8PK2l7WJ3RER9xtqwdhxkhw/edit?usp=sharing"",""สุพรรณบุรี!I425"")"),0)</f>
        <v>0</v>
      </c>
      <c r="J530" s="199">
        <f ca="1">IFERROR(__xludf.DUMMYFUNCTION("IMPORTRANGE(""https://docs.google.com/spreadsheets/d/1SX6NBoVAgQJ6U1MVXOaj8PK2l7WJ3RER9xtqwdhxkhw/edit?usp=sharing"",""สุพรรณบุรี!J425"")"),0)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IFERROR(__xludf.DUMMYFUNCTION("IMPORTRANGE(""https://docs.google.com/spreadsheets/d/1SX6NBoVAgQJ6U1MVXOaj8PK2l7WJ3RER9xtqwdhxkhw/edit?usp=sharing"",""สุพรรณบุรี!I426"")"),0)</f>
        <v>0</v>
      </c>
      <c r="J531" s="199">
        <f ca="1">IFERROR(__xludf.DUMMYFUNCTION("IMPORTRANGE(""https://docs.google.com/spreadsheets/d/1SX6NBoVAgQJ6U1MVXOaj8PK2l7WJ3RER9xtqwdhxkhw/edit?usp=sharing"",""สุพรรณบุรี!J426"")"),0)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IFERROR(__xludf.DUMMYFUNCTION("IMPORTRANGE(""https://docs.google.com/spreadsheets/d/1SX6NBoVAgQJ6U1MVXOaj8PK2l7WJ3RER9xtqwdhxkhw/edit?usp=sharing"",""สุพรรณบุรี!M428"")"),30945)</f>
        <v>30945</v>
      </c>
      <c r="O533" s="412">
        <f t="shared" ref="O533:O537" ca="1" si="118">+IF(L533&gt;0,N533*100/L533,0)</f>
        <v>90.11357018054747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IFERROR(__xludf.DUMMYFUNCTION("IMPORTRANGE(""https://docs.google.com/spreadsheets/d/1SX6NBoVAgQJ6U1MVXOaj8PK2l7WJ3RER9xtqwdhxkhw/edit?usp=sharing"",""สุพรรณบุรี!L429"")"),0)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IFERROR(__xludf.DUMMYFUNCTION("IMPORTRANGE(""https://docs.google.com/spreadsheets/d/1SX6NBoVAgQJ6U1MVXOaj8PK2l7WJ3RER9xtqwdhxkhw/edit?usp=sharing"",""สุพรรณบุรี!M429"")"),0)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IFERROR(__xludf.DUMMYFUNCTION("IMPORTRANGE(""https://docs.google.com/spreadsheets/d/1SX6NBoVAgQJ6U1MVXOaj8PK2l7WJ3RER9xtqwdhxkhw/edit?usp=sharing"",""สุพรรณบุรี!L430"")"),34340)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IFERROR(__xludf.DUMMYFUNCTION("IMPORTRANGE(""https://docs.google.com/spreadsheets/d/1SX6NBoVAgQJ6U1MVXOaj8PK2l7WJ3RER9xtqwdhxkhw/edit?usp=sharing"",""สุพรรณบุรี!M430"")"),30945)</f>
        <v>30945</v>
      </c>
      <c r="O535" s="170">
        <f t="shared" ca="1" si="118"/>
        <v>90.11357018054747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IFERROR(__xludf.DUMMYFUNCTION("IMPORTRANGE(""https://docs.google.com/spreadsheets/d/1SX6NBoVAgQJ6U1MVXOaj8PK2l7WJ3RER9xtqwdhxkhw/edit?usp=sharing"",""สุพรรณบุรี!L431"")"),0)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IFERROR(__xludf.DUMMYFUNCTION("IMPORTRANGE(""https://docs.google.com/spreadsheets/d/1SX6NBoVAgQJ6U1MVXOaj8PK2l7WJ3RER9xtqwdhxkhw/edit?usp=sharing"",""สุพรรณบุรี!M431"")"),0)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IFERROR(__xludf.DUMMYFUNCTION("IMPORTRANGE(""https://docs.google.com/spreadsheets/d/1SX6NBoVAgQJ6U1MVXOaj8PK2l7WJ3RER9xtqwdhxkhw/edit?usp=sharing"",""สุพรรณบุรี!L432"")"),34340)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IFERROR(__xludf.DUMMYFUNCTION("IMPORTRANGE(""https://docs.google.com/spreadsheets/d/1SX6NBoVAgQJ6U1MVXOaj8PK2l7WJ3RER9xtqwdhxkhw/edit?usp=sharing"",""สุพรรณบุรี!M432"")"),30945)</f>
        <v>30945</v>
      </c>
      <c r="O537" s="170">
        <f t="shared" ca="1" si="118"/>
        <v>90.11357018054747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IFERROR(__xludf.DUMMYFUNCTION("IMPORTRANGE(""https://docs.google.com/spreadsheets/d/1SX6NBoVAgQJ6U1MVXOaj8PK2l7WJ3RER9xtqwdhxkhw/edit?usp=sharing"",""สุพรรณบุรี!M436"")"),3000)</f>
        <v>3000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IFERROR(__xludf.DUMMYFUNCTION("IMPORTRANGE(""https://docs.google.com/spreadsheets/d/1SX6NBoVAgQJ6U1MVXOaj8PK2l7WJ3RER9xtqwdhxkhw/edit?usp=sharing"",""สุพรรณบุรี!J438"")"),0)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IFERROR(__xludf.DUMMYFUNCTION("IMPORTRANGE(""https://docs.google.com/spreadsheets/d/1SX6NBoVAgQJ6U1MVXOaj8PK2l7WJ3RER9xtqwdhxkhw/edit?usp=sharing"",""สุพรรณบุรี!J439"")"),1)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IFERROR(__xludf.DUMMYFUNCTION("IMPORTRANGE(""https://docs.google.com/spreadsheets/d/1SX6NBoVAgQJ6U1MVXOaj8PK2l7WJ3RER9xtqwdhxkhw/edit?usp=sharing"",""สุพรรณบุรี!J440"")"),1)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IFERROR(__xludf.DUMMYFUNCTION("IMPORTRANGE(""https://docs.google.com/spreadsheets/d/1SX6NBoVAgQJ6U1MVXOaj8PK2l7WJ3RER9xtqwdhxkhw/edit?usp=sharing"",""สุพรรณบุรี!J441"")"),1)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IFERROR(__xludf.DUMMYFUNCTION("IMPORTRANGE(""https://docs.google.com/spreadsheets/d/1SX6NBoVAgQJ6U1MVXOaj8PK2l7WJ3RER9xtqwdhxkhw/edit?usp=sharing"",""สุพรรณบุรี!I442"")"),22)</f>
        <v>22</v>
      </c>
      <c r="J547" s="190">
        <f ca="1">IFERROR(__xludf.DUMMYFUNCTION("IMPORTRANGE(""https://docs.google.com/spreadsheets/d/1SX6NBoVAgQJ6U1MVXOaj8PK2l7WJ3RER9xtqwdhxkhw/edit?usp=sharing"",""สุพรรณบุรี!J442"")"),22)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IFERROR(__xludf.DUMMYFUNCTION("IMPORTRANGE(""https://docs.google.com/spreadsheets/d/1SX6NBoVAgQJ6U1MVXOaj8PK2l7WJ3RER9xtqwdhxkhw/edit?usp=sharing"",""สุพรรณบุรี!J166"")"),0)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IFERROR(__xludf.DUMMYFUNCTION("IMPORTRANGE(""https://docs.google.com/spreadsheets/d/1SX6NBoVAgQJ6U1MVXOaj8PK2l7WJ3RER9xtqwdhxkhw/edit?usp=sharing"",""สุพรรณบุรี!J444"")"),0)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IFERROR(__xludf.DUMMYFUNCTION("IMPORTRANGE(""https://docs.google.com/spreadsheets/d/1SX6NBoVAgQJ6U1MVXOaj8PK2l7WJ3RER9xtqwdhxkhw/edit?usp=sharing"",""สุพรรณบุรี!L447"")"),0)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IFERROR(__xludf.DUMMYFUNCTION("IMPORTRANGE(""https://docs.google.com/spreadsheets/d/1SX6NBoVAgQJ6U1MVXOaj8PK2l7WJ3RER9xtqwdhxkhw/edit?usp=sharing"",""สุพรรณบุรี!M447"")"),0)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IFERROR(__xludf.DUMMYFUNCTION("IMPORTRANGE(""https://docs.google.com/spreadsheets/d/1SX6NBoVAgQJ6U1MVXOaj8PK2l7WJ3RER9xtqwdhxkhw/edit?usp=sharing"",""สุพรรณบุรี!L448"")"),0)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IFERROR(__xludf.DUMMYFUNCTION("IMPORTRANGE(""https://docs.google.com/spreadsheets/d/1SX6NBoVAgQJ6U1MVXOaj8PK2l7WJ3RER9xtqwdhxkhw/edit?usp=sharing"",""สุพรรณบุรี!M448"")"),0)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IFERROR(__xludf.DUMMYFUNCTION("IMPORTRANGE(""https://docs.google.com/spreadsheets/d/1SX6NBoVAgQJ6U1MVXOaj8PK2l7WJ3RER9xtqwdhxkhw/edit?usp=sharing"",""สุพรรณบุรี!L449"")"),0)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IFERROR(__xludf.DUMMYFUNCTION("IMPORTRANGE(""https://docs.google.com/spreadsheets/d/1SX6NBoVAgQJ6U1MVXOaj8PK2l7WJ3RER9xtqwdhxkhw/edit?usp=sharing"",""สุพรรณบุรี!M449"")"),0)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IFERROR(__xludf.DUMMYFUNCTION("IMPORTRANGE(""https://docs.google.com/spreadsheets/d/1SX6NBoVAgQJ6U1MVXOaj8PK2l7WJ3RER9xtqwdhxkhw/edit?usp=sharing"",""สุพรรณบุรี!L450"")"),0)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IFERROR(__xludf.DUMMYFUNCTION("IMPORTRANGE(""https://docs.google.com/spreadsheets/d/1SX6NBoVAgQJ6U1MVXOaj8PK2l7WJ3RER9xtqwdhxkhw/edit?usp=sharing"",""สุพรรณบุรี!M450"")"),0)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IFERROR(__xludf.DUMMYFUNCTION("IMPORTRANGE(""https://docs.google.com/spreadsheets/d/1SX6NBoVAgQJ6U1MVXOaj8PK2l7WJ3RER9xtqwdhxkhw/edit?usp=sharing"",""สุพรรณบุรี!M451"")"),0)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IFERROR(__xludf.DUMMYFUNCTION("IMPORTRANGE(""https://docs.google.com/spreadsheets/d/1SX6NBoVAgQJ6U1MVXOaj8PK2l7WJ3RER9xtqwdhxkhw/edit?usp=sharing"",""สุพรรณบุรี!M452"")"),0)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IFERROR(__xludf.DUMMYFUNCTION("IMPORTRANGE(""https://docs.google.com/spreadsheets/d/1SX6NBoVAgQJ6U1MVXOaj8PK2l7WJ3RER9xtqwdhxkhw/edit?usp=sharing"",""สุพรรณบุรี!M453"")"),0)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IFERROR(__xludf.DUMMYFUNCTION("IMPORTRANGE(""https://docs.google.com/spreadsheets/d/1SX6NBoVAgQJ6U1MVXOaj8PK2l7WJ3RER9xtqwdhxkhw/edit?usp=sharing"",""สุพรรณบุรี!M454"")"),0)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IFERROR(__xludf.DUMMYFUNCTION("IMPORTRANGE(""https://docs.google.com/spreadsheets/d/1SX6NBoVAgQJ6U1MVXOaj8PK2l7WJ3RER9xtqwdhxkhw/edit?usp=sharing"",""สุพรรณบุรี!I455"")"),0)</f>
        <v>0</v>
      </c>
      <c r="J560" s="164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IFERROR(__xludf.DUMMYFUNCTION("IMPORTRANGE(""https://docs.google.com/spreadsheets/d/1SX6NBoVAgQJ6U1MVXOaj8PK2l7WJ3RER9xtqwdhxkhw/edit?usp=sharing"",""สุพรรณบุรี!I456"")"),0)</f>
        <v>0</v>
      </c>
      <c r="J561" s="205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IFERROR(__xludf.DUMMYFUNCTION("IMPORTRANGE(""https://docs.google.com/spreadsheets/d/1SX6NBoVAgQJ6U1MVXOaj8PK2l7WJ3RER9xtqwdhxkhw/edit?usp=sharing"",""สุพรรณบุรี!I457"")"),0)</f>
        <v>0</v>
      </c>
      <c r="J562" s="205" t="str">
        <f ca="1">IFERROR(__xludf.DUMMYFUNCTION("IMPORTRANGE(""https://docs.google.com/spreadsheets/d/1SX6NBoVAgQJ6U1MVXOaj8PK2l7WJ3RER9xtqwdhxkhw/edit?usp=sharing"",""สุพรรณบุรี!J457"")"),"")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IFERROR(__xludf.DUMMYFUNCTION("IMPORTRANGE(""https://docs.google.com/spreadsheets/d/1SX6NBoVAgQJ6U1MVXOaj8PK2l7WJ3RER9xtqwdhxkhw/edit?usp=sharing"",""สุพรรณบุรี!I458"")"),0)</f>
        <v>0</v>
      </c>
      <c r="J563" s="189" t="str">
        <f ca="1">IFERROR(__xludf.DUMMYFUNCTION("IMPORTRANGE(""https://docs.google.com/spreadsheets/d/1SX6NBoVAgQJ6U1MVXOaj8PK2l7WJ3RER9xtqwdhxkhw/edit?usp=sharing"",""สุพรรณบุรี!J458"")"),"")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IFERROR(__xludf.DUMMYFUNCTION("IMPORTRANGE(""https://docs.google.com/spreadsheets/d/1SX6NBoVAgQJ6U1MVXOaj8PK2l7WJ3RER9xtqwdhxkhw/edit?usp=sharing"",""สุพรรณบุรี!J459"")"),1024)</f>
        <v>1024</v>
      </c>
      <c r="K564" s="372">
        <f t="shared" ca="1" si="121"/>
        <v>113.77777777777777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IFERROR(__xludf.DUMMYFUNCTION("IMPORTRANGE(""https://docs.google.com/spreadsheets/d/1SX6NBoVAgQJ6U1MVXOaj8PK2l7WJ3RER9xtqwdhxkhw/edit?usp=sharing"",""สุพรรณบุรี!M459"")"),55675.52)</f>
        <v>55675.519999999997</v>
      </c>
      <c r="O564" s="373">
        <f t="shared" ref="O564:O568" ca="1" si="122">+IF(L564&gt;0,N564*100/L564,0)</f>
        <v>43.469331667707685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IFERROR(__xludf.DUMMYFUNCTION("IMPORTRANGE(""https://docs.google.com/spreadsheets/d/1SX6NBoVAgQJ6U1MVXOaj8PK2l7WJ3RER9xtqwdhxkhw/edit?usp=sharing"",""สุพรรณบุรี!L460"")"),0)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IFERROR(__xludf.DUMMYFUNCTION("IMPORTRANGE(""https://docs.google.com/spreadsheets/d/1SX6NBoVAgQJ6U1MVXOaj8PK2l7WJ3RER9xtqwdhxkhw/edit?usp=sharing"",""สุพรรณบุรี!M460"")"),0)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7"/>
      <c r="N566" s="170">
        <f ca="1">IFERROR(__xludf.DUMMYFUNCTION("IMPORTRANGE(""https://docs.google.com/spreadsheets/d/1SX6NBoVAgQJ6U1MVXOaj8PK2l7WJ3RER9xtqwdhxkhw/edit?usp=sharing"",""สุพรรณบุรี!M461"")"),55675.52)</f>
        <v>55675.519999999997</v>
      </c>
      <c r="O566" s="170">
        <f t="shared" ca="1" si="122"/>
        <v>43.469331667707685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IFERROR(__xludf.DUMMYFUNCTION("IMPORTRANGE(""https://docs.google.com/spreadsheets/d/1SX6NBoVAgQJ6U1MVXOaj8PK2l7WJ3RER9xtqwdhxkhw/edit?usp=sharing"",""สุพรรณบุรี!L462"")"),0)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IFERROR(__xludf.DUMMYFUNCTION("IMPORTRANGE(""https://docs.google.com/spreadsheets/d/1SX6NBoVAgQJ6U1MVXOaj8PK2l7WJ3RER9xtqwdhxkhw/edit?usp=sharing"",""สุพรรณบุรี!M462"")"),0)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IFERROR(__xludf.DUMMYFUNCTION("IMPORTRANGE(""https://docs.google.com/spreadsheets/d/1SX6NBoVAgQJ6U1MVXOaj8PK2l7WJ3RER9xtqwdhxkhw/edit?usp=sharing"",""สุพรรณบุรี!L463"")"),128080)</f>
        <v>128080</v>
      </c>
      <c r="M568" s="170"/>
      <c r="N568" s="170">
        <f ca="1">IFERROR(__xludf.DUMMYFUNCTION("IMPORTRANGE(""https://docs.google.com/spreadsheets/d/1SX6NBoVAgQJ6U1MVXOaj8PK2l7WJ3RER9xtqwdhxkhw/edit?usp=sharing"",""สุพรรณบุรี!M463"")"),55675.52)</f>
        <v>55675.519999999997</v>
      </c>
      <c r="O568" s="170">
        <f t="shared" ca="1" si="122"/>
        <v>43.469331667707685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IFERROR(__xludf.DUMMYFUNCTION("IMPORTRANGE(""https://docs.google.com/spreadsheets/d/1SX6NBoVAgQJ6U1MVXOaj8PK2l7WJ3RER9xtqwdhxkhw/edit?usp=sharing"",""สุพรรณบุรี!M464"")"),0)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IFERROR(__xludf.DUMMYFUNCTION("IMPORTRANGE(""https://docs.google.com/spreadsheets/d/1SX6NBoVAgQJ6U1MVXOaj8PK2l7WJ3RER9xtqwdhxkhw/edit?usp=sharing"",""สุพรรณบุรี!M465"")"),0)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IFERROR(__xludf.DUMMYFUNCTION("IMPORTRANGE(""https://docs.google.com/spreadsheets/d/1SX6NBoVAgQJ6U1MVXOaj8PK2l7WJ3RER9xtqwdhxkhw/edit?usp=sharing"",""สุพรรณบุรี!M466"")"),53935.52)</f>
        <v>53935.519999999997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IFERROR(__xludf.DUMMYFUNCTION("IMPORTRANGE(""https://docs.google.com/spreadsheets/d/1SX6NBoVAgQJ6U1MVXOaj8PK2l7WJ3RER9xtqwdhxkhw/edit?usp=sharing"",""สุพรรณบุรี!M467"")"),1740)</f>
        <v>1740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IFERROR(__xludf.DUMMYFUNCTION("IMPORTRANGE(""https://docs.google.com/spreadsheets/d/1SX6NBoVAgQJ6U1MVXOaj8PK2l7WJ3RER9xtqwdhxkhw/edit?usp=sharing"",""สุพรรณบุรี!J468"")"),1024)</f>
        <v>1024</v>
      </c>
      <c r="K573" s="203">
        <f ca="1">IF(I573&gt;0,J573*100/I573,0)</f>
        <v>113.77777777777777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IFERROR(__xludf.DUMMYFUNCTION("IMPORTRANGE(""https://docs.google.com/spreadsheets/d/1SX6NBoVAgQJ6U1MVXOaj8PK2l7WJ3RER9xtqwdhxkhw/edit?usp=sharing"",""สุพรรณบุรี!I470"")"),0)</f>
        <v>0</v>
      </c>
      <c r="J575" s="199">
        <f ca="1">IFERROR(__xludf.DUMMYFUNCTION("IMPORTRANGE(""https://docs.google.com/spreadsheets/d/1SX6NBoVAgQJ6U1MVXOaj8PK2l7WJ3RER9xtqwdhxkhw/edit?usp=sharing"",""สุพรรณบุรี!J470"")"),0)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IFERROR(__xludf.DUMMYFUNCTION("IMPORTRANGE(""https://docs.google.com/spreadsheets/d/1SX6NBoVAgQJ6U1MVXOaj8PK2l7WJ3RER9xtqwdhxkhw/edit?usp=sharing"",""สุพรรณบุรี!I471"")"),0)</f>
        <v>0</v>
      </c>
      <c r="J576" s="199">
        <f ca="1">IFERROR(__xludf.DUMMYFUNCTION("IMPORTRANGE(""https://docs.google.com/spreadsheets/d/1SX6NBoVAgQJ6U1MVXOaj8PK2l7WJ3RER9xtqwdhxkhw/edit?usp=sharing"",""สุพรรณบุรี!J471"")"),0)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IFERROR(__xludf.DUMMYFUNCTION("IMPORTRANGE(""https://docs.google.com/spreadsheets/d/1SX6NBoVAgQJ6U1MVXOaj8PK2l7WJ3RER9xtqwdhxkhw/edit?usp=sharing"",""สุพรรณบุรี!I472"")"),0)</f>
        <v>0</v>
      </c>
      <c r="J577" s="190">
        <f ca="1">IFERROR(__xludf.DUMMYFUNCTION("IMPORTRANGE(""https://docs.google.com/spreadsheets/d/1SX6NBoVAgQJ6U1MVXOaj8PK2l7WJ3RER9xtqwdhxkhw/edit?usp=sharing"",""สุพรรณบุรี!J472"")"),1024)</f>
        <v>1024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IFERROR(__xludf.DUMMYFUNCTION("IMPORTRANGE(""https://docs.google.com/spreadsheets/d/1SX6NBoVAgQJ6U1MVXOaj8PK2l7WJ3RER9xtqwdhxkhw/edit?usp=sharing"",""สุพรรณบุรี!I473"")"),0)</f>
        <v>0</v>
      </c>
      <c r="J578" s="199">
        <f ca="1">IFERROR(__xludf.DUMMYFUNCTION("IMPORTRANGE(""https://docs.google.com/spreadsheets/d/1SX6NBoVAgQJ6U1MVXOaj8PK2l7WJ3RER9xtqwdhxkhw/edit?usp=sharing"",""สุพรรณบุรี!J473"")"),0)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IFERROR(__xludf.DUMMYFUNCTION("IMPORTRANGE(""https://docs.google.com/spreadsheets/d/1SX6NBoVAgQJ6U1MVXOaj8PK2l7WJ3RER9xtqwdhxkhw/edit?usp=sharing"",""สุพรรณบุรี!I474"")"),0)</f>
        <v>0</v>
      </c>
      <c r="J579" s="199">
        <f ca="1">IFERROR(__xludf.DUMMYFUNCTION("IMPORTRANGE(""https://docs.google.com/spreadsheets/d/1SX6NBoVAgQJ6U1MVXOaj8PK2l7WJ3RER9xtqwdhxkhw/edit?usp=sharing"",""สุพรรณบุรี!J474"")"),0)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IFERROR(__xludf.DUMMYFUNCTION("IMPORTRANGE(""https://docs.google.com/spreadsheets/d/1SX6NBoVAgQJ6U1MVXOaj8PK2l7WJ3RER9xtqwdhxkhw/edit?usp=sharing"",""สุพรรณบุรี!J475"")"),6)</f>
        <v>6</v>
      </c>
      <c r="K580" s="372">
        <f ca="1">IF(I580&gt;0,J580*100/I580,0)</f>
        <v>7.5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IFERROR(__xludf.DUMMYFUNCTION("IMPORTRANGE(""https://docs.google.com/spreadsheets/d/1SX6NBoVAgQJ6U1MVXOaj8PK2l7WJ3RER9xtqwdhxkhw/edit?usp=sharing"",""สุพรรณบุรี!M475"")"),90518.73)</f>
        <v>90518.73</v>
      </c>
      <c r="O580" s="373">
        <f t="shared" ref="O580:O584" ca="1" si="124">+IF(L580&gt;0,N580*100/L580,0)</f>
        <v>29.352983332252418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IFERROR(__xludf.DUMMYFUNCTION("IMPORTRANGE(""https://docs.google.com/spreadsheets/d/1SX6NBoVAgQJ6U1MVXOaj8PK2l7WJ3RER9xtqwdhxkhw/edit?usp=sharing"",""สุพรรณบุรี!L476"")"),0)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IFERROR(__xludf.DUMMYFUNCTION("IMPORTRANGE(""https://docs.google.com/spreadsheets/d/1SX6NBoVAgQJ6U1MVXOaj8PK2l7WJ3RER9xtqwdhxkhw/edit?usp=sharing"",""สุพรรณบุรี!M476"")"),0)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7"/>
      <c r="N582" s="170">
        <f ca="1">IFERROR(__xludf.DUMMYFUNCTION("IMPORTRANGE(""https://docs.google.com/spreadsheets/d/1SX6NBoVAgQJ6U1MVXOaj8PK2l7WJ3RER9xtqwdhxkhw/edit?usp=sharing"",""สุพรรณบุรี!M477"")"),90518.73)</f>
        <v>90518.73</v>
      </c>
      <c r="O582" s="170">
        <f t="shared" ca="1" si="124"/>
        <v>29.352983332252418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IFERROR(__xludf.DUMMYFUNCTION("IMPORTRANGE(""https://docs.google.com/spreadsheets/d/1SX6NBoVAgQJ6U1MVXOaj8PK2l7WJ3RER9xtqwdhxkhw/edit?usp=sharing"",""สุพรรณบุรี!L478"")"),0)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IFERROR(__xludf.DUMMYFUNCTION("IMPORTRANGE(""https://docs.google.com/spreadsheets/d/1SX6NBoVAgQJ6U1MVXOaj8PK2l7WJ3RER9xtqwdhxkhw/edit?usp=sharing"",""สุพรรณบุรี!M478"")"),0)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IFERROR(__xludf.DUMMYFUNCTION("IMPORTRANGE(""https://docs.google.com/spreadsheets/d/1SX6NBoVAgQJ6U1MVXOaj8PK2l7WJ3RER9xtqwdhxkhw/edit?usp=sharing"",""สุพรรณบุรี!L479"")"),308380)</f>
        <v>308380</v>
      </c>
      <c r="M584" s="170"/>
      <c r="N584" s="170">
        <f ca="1">IFERROR(__xludf.DUMMYFUNCTION("IMPORTRANGE(""https://docs.google.com/spreadsheets/d/1SX6NBoVAgQJ6U1MVXOaj8PK2l7WJ3RER9xtqwdhxkhw/edit?usp=sharing"",""สุพรรณบุรี!M479"")"),90518.73)</f>
        <v>90518.73</v>
      </c>
      <c r="O584" s="170">
        <f t="shared" ca="1" si="124"/>
        <v>29.352983332252418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IFERROR(__xludf.DUMMYFUNCTION("IMPORTRANGE(""https://docs.google.com/spreadsheets/d/1SX6NBoVAgQJ6U1MVXOaj8PK2l7WJ3RER9xtqwdhxkhw/edit?usp=sharing"",""สุพรรณบุรี!M480"")"),0)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IFERROR(__xludf.DUMMYFUNCTION("IMPORTRANGE(""https://docs.google.com/spreadsheets/d/1SX6NBoVAgQJ6U1MVXOaj8PK2l7WJ3RER9xtqwdhxkhw/edit?usp=sharing"",""สุพรรณบุรี!M481"")"),0)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IFERROR(__xludf.DUMMYFUNCTION("IMPORTRANGE(""https://docs.google.com/spreadsheets/d/1SX6NBoVAgQJ6U1MVXOaj8PK2l7WJ3RER9xtqwdhxkhw/edit?usp=sharing"",""สุพรรณบุรี!M482"")"),58838.73)</f>
        <v>58838.73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IFERROR(__xludf.DUMMYFUNCTION("IMPORTRANGE(""https://docs.google.com/spreadsheets/d/1SX6NBoVAgQJ6U1MVXOaj8PK2l7WJ3RER9xtqwdhxkhw/edit?usp=sharing"",""สุพรรณบุรี!M483"")"),31680)</f>
        <v>31680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IFERROR(__xludf.DUMMYFUNCTION("IMPORTRANGE(""https://docs.google.com/spreadsheets/d/1SX6NBoVAgQJ6U1MVXOaj8PK2l7WJ3RER9xtqwdhxkhw/edit?usp=sharing"",""สุพรรณบุรี!I484"")"),80)</f>
        <v>80</v>
      </c>
      <c r="J589" s="189">
        <f ca="1">IFERROR(__xludf.DUMMYFUNCTION("IMPORTRANGE(""https://docs.google.com/spreadsheets/d/1SX6NBoVAgQJ6U1MVXOaj8PK2l7WJ3RER9xtqwdhxkhw/edit?usp=sharing"",""สุพรรณบุรี!J484"")"),68)</f>
        <v>68</v>
      </c>
      <c r="K589" s="165">
        <f t="shared" ref="K589:K596" ca="1" si="125">IF(I589&gt;0,J589*100/I589,0)</f>
        <v>85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9">
        <f ca="1">IFERROR(__xludf.DUMMYFUNCTION("IMPORTRANGE(""https://docs.google.com/spreadsheets/d/1SX6NBoVAgQJ6U1MVXOaj8PK2l7WJ3RER9xtqwdhxkhw/edit?usp=sharing"",""สุพรรณบุรี!J485"")"),37.57)</f>
        <v>37.57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IFERROR(__xludf.DUMMYFUNCTION("IMPORTRANGE(""https://docs.google.com/spreadsheets/d/1SX6NBoVAgQJ6U1MVXOaj8PK2l7WJ3RER9xtqwdhxkhw/edit?usp=sharing"",""สุพรรณบุรี!I486"")"),80)</f>
        <v>80</v>
      </c>
      <c r="J591" s="189">
        <f ca="1">IFERROR(__xludf.DUMMYFUNCTION("IMPORTRANGE(""https://docs.google.com/spreadsheets/d/1SX6NBoVAgQJ6U1MVXOaj8PK2l7WJ3RER9xtqwdhxkhw/edit?usp=sharing"",""สุพรรณบุรี!J486"")"),6)</f>
        <v>6</v>
      </c>
      <c r="K591" s="165">
        <f t="shared" ca="1" si="125"/>
        <v>7.5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9">
        <f ca="1">IFERROR(__xludf.DUMMYFUNCTION("IMPORTRANGE(""https://docs.google.com/spreadsheets/d/1SX6NBoVAgQJ6U1MVXOaj8PK2l7WJ3RER9xtqwdhxkhw/edit?usp=sharing"",""สุพรรณบุรี!J487"")"),4.67)</f>
        <v>4.67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IFERROR(__xludf.DUMMYFUNCTION("IMPORTRANGE(""https://docs.google.com/spreadsheets/d/1SX6NBoVAgQJ6U1MVXOaj8PK2l7WJ3RER9xtqwdhxkhw/edit?usp=sharing"",""สุพรรณบุรี!I488"")"),80)</f>
        <v>80</v>
      </c>
      <c r="J593" s="189">
        <f ca="1">IFERROR(__xludf.DUMMYFUNCTION("IMPORTRANGE(""https://docs.google.com/spreadsheets/d/1SX6NBoVAgQJ6U1MVXOaj8PK2l7WJ3RER9xtqwdhxkhw/edit?usp=sharing"",""สุพรรณบุรี!J488"")"),0)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9">
        <f ca="1">IFERROR(__xludf.DUMMYFUNCTION("IMPORTRANGE(""https://docs.google.com/spreadsheets/d/1SX6NBoVAgQJ6U1MVXOaj8PK2l7WJ3RER9xtqwdhxkhw/edit?usp=sharing"",""สุพรรณบุรี!J489"")"),0)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IFERROR(__xludf.DUMMYFUNCTION("IMPORTRANGE(""https://docs.google.com/spreadsheets/d/1SX6NBoVAgQJ6U1MVXOaj8PK2l7WJ3RER9xtqwdhxkhw/edit?usp=sharing"",""สุพรรณบุรี!I490"")"),80)</f>
        <v>80</v>
      </c>
      <c r="J595" s="189">
        <f ca="1">IFERROR(__xludf.DUMMYFUNCTION("IMPORTRANGE(""https://docs.google.com/spreadsheets/d/1SX6NBoVAgQJ6U1MVXOaj8PK2l7WJ3RER9xtqwdhxkhw/edit?usp=sharing"",""สุพรรณบุรี!J490"")"),6)</f>
        <v>6</v>
      </c>
      <c r="K595" s="165">
        <f t="shared" ca="1" si="125"/>
        <v>7.5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IFERROR(__xludf.DUMMYFUNCTION("IMPORTRANGE(""https://docs.google.com/spreadsheets/d/1SX6NBoVAgQJ6U1MVXOaj8PK2l7WJ3RER9xtqwdhxkhw/edit?usp=sharing"",""สุพรรณบุรี!J491"")"),4.67)</f>
        <v>4.67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7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IFERROR(__xludf.DUMMYFUNCTION("IMPORTRANGE(""https://docs.google.com/spreadsheets/d/1SX6NBoVAgQJ6U1MVXOaj8PK2l7WJ3RER9xtqwdhxkhw/edit?usp=sharing"",""สุพรรณบุรี!M492"")"),3400)</f>
        <v>3400</v>
      </c>
      <c r="O597" s="412">
        <f t="shared" ref="O597:O601" ca="1" si="126">+IF(L597&gt;0,N597*100/L597,0)</f>
        <v>38.202247191011239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IFERROR(__xludf.DUMMYFUNCTION("IMPORTRANGE(""https://docs.google.com/spreadsheets/d/1SX6NBoVAgQJ6U1MVXOaj8PK2l7WJ3RER9xtqwdhxkhw/edit?usp=sharing"",""สุพรรณบุรี!L493"")"),0)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IFERROR(__xludf.DUMMYFUNCTION("IMPORTRANGE(""https://docs.google.com/spreadsheets/d/1SX6NBoVAgQJ6U1MVXOaj8PK2l7WJ3RER9xtqwdhxkhw/edit?usp=sharing"",""สุพรรณบุรี!M493"")"),0)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IFERROR(__xludf.DUMMYFUNCTION("IMPORTRANGE(""https://docs.google.com/spreadsheets/d/1SX6NBoVAgQJ6U1MVXOaj8PK2l7WJ3RER9xtqwdhxkhw/edit?usp=sharing"",""สุพรรณบุรี!L494"")"),8900)</f>
        <v>8900</v>
      </c>
      <c r="M599" s="167"/>
      <c r="N599" s="170">
        <f ca="1">IFERROR(__xludf.DUMMYFUNCTION("IMPORTRANGE(""https://docs.google.com/spreadsheets/d/1SX6NBoVAgQJ6U1MVXOaj8PK2l7WJ3RER9xtqwdhxkhw/edit?usp=sharing"",""สุพรรณบุรี!M494"")"),3400)</f>
        <v>3400</v>
      </c>
      <c r="O599" s="170">
        <f t="shared" ca="1" si="126"/>
        <v>38.202247191011239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IFERROR(__xludf.DUMMYFUNCTION("IMPORTRANGE(""https://docs.google.com/spreadsheets/d/1SX6NBoVAgQJ6U1MVXOaj8PK2l7WJ3RER9xtqwdhxkhw/edit?usp=sharing"",""สุพรรณบุรี!L495"")"),0)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IFERROR(__xludf.DUMMYFUNCTION("IMPORTRANGE(""https://docs.google.com/spreadsheets/d/1SX6NBoVAgQJ6U1MVXOaj8PK2l7WJ3RER9xtqwdhxkhw/edit?usp=sharing"",""สุพรรณบุรี!M495"")"),0)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IFERROR(__xludf.DUMMYFUNCTION("IMPORTRANGE(""https://docs.google.com/spreadsheets/d/1SX6NBoVAgQJ6U1MVXOaj8PK2l7WJ3RER9xtqwdhxkhw/edit?usp=sharing"",""สุพรรณบุรี!L496"")"),8900)</f>
        <v>8900</v>
      </c>
      <c r="M601" s="170"/>
      <c r="N601" s="170">
        <f ca="1">IFERROR(__xludf.DUMMYFUNCTION("IMPORTRANGE(""https://docs.google.com/spreadsheets/d/1SX6NBoVAgQJ6U1MVXOaj8PK2l7WJ3RER9xtqwdhxkhw/edit?usp=sharing"",""สุพรรณบุรี!M496"")"),3400)</f>
        <v>3400</v>
      </c>
      <c r="O601" s="170">
        <f t="shared" ca="1" si="126"/>
        <v>38.202247191011239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IFERROR(__xludf.DUMMYFUNCTION("IMPORTRANGE(""https://docs.google.com/spreadsheets/d/1SX6NBoVAgQJ6U1MVXOaj8PK2l7WJ3RER9xtqwdhxkhw/edit?usp=sharing"",""สุพรรณบุรี!M497"")"),0)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IFERROR(__xludf.DUMMYFUNCTION("IMPORTRANGE(""https://docs.google.com/spreadsheets/d/1SX6NBoVAgQJ6U1MVXOaj8PK2l7WJ3RER9xtqwdhxkhw/edit?usp=sharing"",""สุพรรณบุรี!M498"")"),0)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IFERROR(__xludf.DUMMYFUNCTION("IMPORTRANGE(""https://docs.google.com/spreadsheets/d/1SX6NBoVAgQJ6U1MVXOaj8PK2l7WJ3RER9xtqwdhxkhw/edit?usp=sharing"",""สุพรรณบุรี!M500"")"),3400)</f>
        <v>3400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IFERROR(__xludf.DUMMYFUNCTION("IMPORTRANGE(""https://docs.google.com/spreadsheets/d/1SX6NBoVAgQJ6U1MVXOaj8PK2l7WJ3RER9xtqwdhxkhw/edit?usp=sharing"",""สุพรรณบุรี!J502"")"),0)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IFERROR(__xludf.DUMMYFUNCTION("IMPORTRANGE(""https://docs.google.com/spreadsheets/d/1SX6NBoVAgQJ6U1MVXOaj8PK2l7WJ3RER9xtqwdhxkhw/edit?usp=sharing"",""สุพรรณบุรี!J503"")"),1)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IFERROR(__xludf.DUMMYFUNCTION("IMPORTRANGE(""https://docs.google.com/spreadsheets/d/1SX6NBoVAgQJ6U1MVXOaj8PK2l7WJ3RER9xtqwdhxkhw/edit?usp=sharing"",""สุพรรณบุรี!I506"")"),100)</f>
        <v>100</v>
      </c>
      <c r="J611" s="164">
        <f ca="1">IFERROR(__xludf.DUMMYFUNCTION("IMPORTRANGE(""https://docs.google.com/spreadsheets/d/1SX6NBoVAgQJ6U1MVXOaj8PK2l7WJ3RER9xtqwdhxkhw/edit?usp=sharing"",""สุพรรณบุรี!J506"")"),0)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IFERROR(__xludf.DUMMYFUNCTION("IMPORTRANGE(""https://docs.google.com/spreadsheets/d/1SX6NBoVAgQJ6U1MVXOaj8PK2l7WJ3RER9xtqwdhxkhw/edit?usp=sharing"",""สุพรรณบุรี!I507"")"),0)</f>
        <v>0</v>
      </c>
      <c r="J612" s="199">
        <f ca="1">IFERROR(__xludf.DUMMYFUNCTION("IMPORTRANGE(""https://docs.google.com/spreadsheets/d/1SX6NBoVAgQJ6U1MVXOaj8PK2l7WJ3RER9xtqwdhxkhw/edit?usp=sharing"",""สุพรรณบุรี!J507"")"),0)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IFERROR(__xludf.DUMMYFUNCTION("IMPORTRANGE(""https://docs.google.com/spreadsheets/d/1SX6NBoVAgQJ6U1MVXOaj8PK2l7WJ3RER9xtqwdhxkhw/edit?usp=sharing"",""สุพรรณบุรี!I508"")"),0)</f>
        <v>0</v>
      </c>
      <c r="J613" s="199">
        <f ca="1">IFERROR(__xludf.DUMMYFUNCTION("IMPORTRANGE(""https://docs.google.com/spreadsheets/d/1SX6NBoVAgQJ6U1MVXOaj8PK2l7WJ3RER9xtqwdhxkhw/edit?usp=sharing"",""สุพรรณบุรี!J508"")"),0)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IFERROR(__xludf.DUMMYFUNCTION("IMPORTRANGE(""https://docs.google.com/spreadsheets/d/1SX6NBoVAgQJ6U1MVXOaj8PK2l7WJ3RER9xtqwdhxkhw/edit?usp=sharing"",""สุพรรณบุรี!I509"")"),0)</f>
        <v>0</v>
      </c>
      <c r="J614" s="199">
        <f ca="1">IFERROR(__xludf.DUMMYFUNCTION("IMPORTRANGE(""https://docs.google.com/spreadsheets/d/1SX6NBoVAgQJ6U1MVXOaj8PK2l7WJ3RER9xtqwdhxkhw/edit?usp=sharing"",""สุพรรณบุรี!J509"")"),0)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IFERROR(__xludf.DUMMYFUNCTION("IMPORTRANGE(""https://docs.google.com/spreadsheets/d/1SX6NBoVAgQJ6U1MVXOaj8PK2l7WJ3RER9xtqwdhxkhw/edit?usp=sharing"",""สุพรรณบุรี!I510"")"),0)</f>
        <v>0</v>
      </c>
      <c r="J615" s="199">
        <f ca="1">IFERROR(__xludf.DUMMYFUNCTION("IMPORTRANGE(""https://docs.google.com/spreadsheets/d/1SX6NBoVAgQJ6U1MVXOaj8PK2l7WJ3RER9xtqwdhxkhw/edit?usp=sharing"",""สุพรรณบุรี!J510"")"),0)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IFERROR(__xludf.DUMMYFUNCTION("IMPORTRANGE(""https://docs.google.com/spreadsheets/d/1SX6NBoVAgQJ6U1MVXOaj8PK2l7WJ3RER9xtqwdhxkhw/edit?usp=sharing"",""สุพรรณบุรี!I511"")"),0)</f>
        <v>0</v>
      </c>
      <c r="J616" s="199">
        <f ca="1">IFERROR(__xludf.DUMMYFUNCTION("IMPORTRANGE(""https://docs.google.com/spreadsheets/d/1SX6NBoVAgQJ6U1MVXOaj8PK2l7WJ3RER9xtqwdhxkhw/edit?usp=sharing"",""สุพรรณบุรี!J511"")"),0)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IFERROR(__xludf.DUMMYFUNCTION("IMPORTRANGE(""https://docs.google.com/spreadsheets/d/1SX6NBoVAgQJ6U1MVXOaj8PK2l7WJ3RER9xtqwdhxkhw/edit?usp=sharing"",""สุพรรณบุรี!I512"")"),0)</f>
        <v>0</v>
      </c>
      <c r="J617" s="189">
        <f ca="1">IFERROR(__xludf.DUMMYFUNCTION("IMPORTRANGE(""https://docs.google.com/spreadsheets/d/1SX6NBoVAgQJ6U1MVXOaj8PK2l7WJ3RER9xtqwdhxkhw/edit?usp=sharing"",""สุพรรณบุรี!J512"")"),0)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IFERROR(__xludf.DUMMYFUNCTION("IMPORTRANGE(""https://docs.google.com/spreadsheets/d/1SX6NBoVAgQJ6U1MVXOaj8PK2l7WJ3RER9xtqwdhxkhw/edit?usp=sharing"",""สุพรรณบุรี!I513"")"),0)</f>
        <v>0</v>
      </c>
      <c r="J618" s="190">
        <f ca="1">IFERROR(__xludf.DUMMYFUNCTION("IMPORTRANGE(""https://docs.google.com/spreadsheets/d/1SX6NBoVAgQJ6U1MVXOaj8PK2l7WJ3RER9xtqwdhxkhw/edit?usp=sharing"",""สุพรรณบุรี!J513"")"),0)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IFERROR(__xludf.DUMMYFUNCTION("IMPORTRANGE(""https://docs.google.com/spreadsheets/d/1SX6NBoVAgQJ6U1MVXOaj8PK2l7WJ3RER9xtqwdhxkhw/edit?usp=sharing"",""สุพรรณบุรี!I514"")"),0)</f>
        <v>0</v>
      </c>
      <c r="J619" s="190">
        <f ca="1">IFERROR(__xludf.DUMMYFUNCTION("IMPORTRANGE(""https://docs.google.com/spreadsheets/d/1SX6NBoVAgQJ6U1MVXOaj8PK2l7WJ3RER9xtqwdhxkhw/edit?usp=sharing"",""สุพรรณบุรี!J514"")"),0)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IFERROR(__xludf.DUMMYFUNCTION("IMPORTRANGE(""https://docs.google.com/spreadsheets/d/1SX6NBoVAgQJ6U1MVXOaj8PK2l7WJ3RER9xtqwdhxkhw/edit?usp=sharing"",""สุพรรณบุรี!I515"")"),73)</f>
        <v>73</v>
      </c>
      <c r="J620" s="204">
        <f ca="1">IFERROR(__xludf.DUMMYFUNCTION("IMPORTRANGE(""https://docs.google.com/spreadsheets/d/1SX6NBoVAgQJ6U1MVXOaj8PK2l7WJ3RER9xtqwdhxkhw/edit?usp=sharing"",""สุพรรณบุรี!J515"")"),0)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IFERROR(__xludf.DUMMYFUNCTION("IMPORTRANGE(""https://docs.google.com/spreadsheets/d/1SX6NBoVAgQJ6U1MVXOaj8PK2l7WJ3RER9xtqwdhxkhw/edit?usp=sharing"",""สุพรรณบุรี!I516"")"),0)</f>
        <v>0</v>
      </c>
      <c r="J621" s="204">
        <f ca="1">IFERROR(__xludf.DUMMYFUNCTION("IMPORTRANGE(""https://docs.google.com/spreadsheets/d/1SX6NBoVAgQJ6U1MVXOaj8PK2l7WJ3RER9xtqwdhxkhw/edit?usp=sharing"",""สุพรรณบุรี!J516"")"),0)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IFERROR(__xludf.DUMMYFUNCTION("IMPORTRANGE(""https://docs.google.com/spreadsheets/d/1SX6NBoVAgQJ6U1MVXOaj8PK2l7WJ3RER9xtqwdhxkhw/edit?usp=sharing"",""สุพรรณบุรี!I517"")"),0)</f>
        <v>0</v>
      </c>
      <c r="J622" s="190">
        <f ca="1">IFERROR(__xludf.DUMMYFUNCTION("IMPORTRANGE(""https://docs.google.com/spreadsheets/d/1SX6NBoVAgQJ6U1MVXOaj8PK2l7WJ3RER9xtqwdhxkhw/edit?usp=sharing"",""สุพรรณบุรี!J517"")"),0)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IFERROR(__xludf.DUMMYFUNCTION("IMPORTRANGE(""https://docs.google.com/spreadsheets/d/1SX6NBoVAgQJ6U1MVXOaj8PK2l7WJ3RER9xtqwdhxkhw/edit?usp=sharing"",""สุพรรณบุรี!I518"")"),0)</f>
        <v>0</v>
      </c>
      <c r="J623" s="190">
        <f ca="1">IFERROR(__xludf.DUMMYFUNCTION("IMPORTRANGE(""https://docs.google.com/spreadsheets/d/1SX6NBoVAgQJ6U1MVXOaj8PK2l7WJ3RER9xtqwdhxkhw/edit?usp=sharing"",""สุพรรณบุรี!J518"")"),0)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IFERROR(__xludf.DUMMYFUNCTION("IMPORTRANGE(""https://docs.google.com/spreadsheets/d/1SX6NBoVAgQJ6U1MVXOaj8PK2l7WJ3RER9xtqwdhxkhw/edit?usp=sharing"",""สุพรรณบุรี!I519"")"),0)</f>
        <v>0</v>
      </c>
      <c r="J624" s="189">
        <f ca="1">IFERROR(__xludf.DUMMYFUNCTION("IMPORTRANGE(""https://docs.google.com/spreadsheets/d/1SX6NBoVAgQJ6U1MVXOaj8PK2l7WJ3RER9xtqwdhxkhw/edit?usp=sharing"",""สุพรรณบุรี!J519"")"),0)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IFERROR(__xludf.DUMMYFUNCTION("IMPORTRANGE(""https://docs.google.com/spreadsheets/d/1SX6NBoVAgQJ6U1MVXOaj8PK2l7WJ3RER9xtqwdhxkhw/edit?usp=sharing"",""สุพรรณบุรี!I520"")"),0)</f>
        <v>0</v>
      </c>
      <c r="J625" s="190">
        <f ca="1">IFERROR(__xludf.DUMMYFUNCTION("IMPORTRANGE(""https://docs.google.com/spreadsheets/d/1SX6NBoVAgQJ6U1MVXOaj8PK2l7WJ3RER9xtqwdhxkhw/edit?usp=sharing"",""สุพรรณบุรี!J520"")"),0)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IFERROR(__xludf.DUMMYFUNCTION("IMPORTRANGE(""https://docs.google.com/spreadsheets/d/1SX6NBoVAgQJ6U1MVXOaj8PK2l7WJ3RER9xtqwdhxkhw/edit?usp=sharing"",""สุพรรณบุรี!I521"")"),0)</f>
        <v>0</v>
      </c>
      <c r="J626" s="190">
        <f ca="1">IFERROR(__xludf.DUMMYFUNCTION("IMPORTRANGE(""https://docs.google.com/spreadsheets/d/1SX6NBoVAgQJ6U1MVXOaj8PK2l7WJ3RER9xtqwdhxkhw/edit?usp=sharing"",""สุพรรณบุรี!J521"")"),0)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1">
        <f ca="1">IFERROR(__xludf.DUMMYFUNCTION("IMPORTRANGE(""https://docs.google.com/spreadsheets/d/1SX6NBoVAgQJ6U1MVXOaj8PK2l7WJ3RER9xtqwdhxkhw/edit?usp=sharing"",""สุพรรณบุรี!J523"")"),2930000)</f>
        <v>2930000</v>
      </c>
      <c r="K628" s="342">
        <f t="shared" ref="K628:K635" ca="1" si="129">IF(I628&gt;0,J628*100/I628,0)</f>
        <v>13.448090500787563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IFERROR(__xludf.DUMMYFUNCTION("IMPORTRANGE(""https://docs.google.com/spreadsheets/d/1SX6NBoVAgQJ6U1MVXOaj8PK2l7WJ3RER9xtqwdhxkhw/edit?usp=sharing"",""สุพรรณบุรี!I524"")"),514)</f>
        <v>514</v>
      </c>
      <c r="J629" s="341">
        <f ca="1">IFERROR(__xludf.DUMMYFUNCTION("IMPORTRANGE(""https://docs.google.com/spreadsheets/d/1SX6NBoVAgQJ6U1MVXOaj8PK2l7WJ3RER9xtqwdhxkhw/edit?usp=sharing"",""สุพรรณบุรี!J524"")"),76)</f>
        <v>76</v>
      </c>
      <c r="K629" s="342">
        <f t="shared" ca="1" si="129"/>
        <v>14.785992217898833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1">
        <f ca="1">IFERROR(__xludf.DUMMYFUNCTION("IMPORTRANGE(""https://docs.google.com/spreadsheets/d/1SX6NBoVAgQJ6U1MVXOaj8PK2l7WJ3RER9xtqwdhxkhw/edit?usp=sharing"",""สุพรรณบุรี!J525"")"),173469.72)</f>
        <v>173469.72</v>
      </c>
      <c r="K630" s="342">
        <f t="shared" ca="1" si="129"/>
        <v>4.4819079768580226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IFERROR(__xludf.DUMMYFUNCTION("IMPORTRANGE(""https://docs.google.com/spreadsheets/d/1SX6NBoVAgQJ6U1MVXOaj8PK2l7WJ3RER9xtqwdhxkhw/edit?usp=sharing"",""สุพรรณบุรี!I526"")"),79)</f>
        <v>79</v>
      </c>
      <c r="J631" s="341">
        <f ca="1">IFERROR(__xludf.DUMMYFUNCTION("IMPORTRANGE(""https://docs.google.com/spreadsheets/d/1SX6NBoVAgQJ6U1MVXOaj8PK2l7WJ3RER9xtqwdhxkhw/edit?usp=sharing"",""สุพรรณบุรี!J526"")"),66)</f>
        <v>66</v>
      </c>
      <c r="K631" s="342">
        <f t="shared" ca="1" si="129"/>
        <v>83.544303797468359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1">
        <f ca="1">IFERROR(__xludf.DUMMYFUNCTION("IMPORTRANGE(""https://docs.google.com/spreadsheets/d/1SX6NBoVAgQJ6U1MVXOaj8PK2l7WJ3RER9xtqwdhxkhw/edit?usp=sharing"",""สุพรรณบุรี!J527"")"),316335.38)</f>
        <v>316335.38</v>
      </c>
      <c r="K632" s="342">
        <f t="shared" ca="1" si="129"/>
        <v>13.570579679247453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IFERROR(__xludf.DUMMYFUNCTION("IMPORTRANGE(""https://docs.google.com/spreadsheets/d/1SX6NBoVAgQJ6U1MVXOaj8PK2l7WJ3RER9xtqwdhxkhw/edit?usp=sharing"",""สุพรรณบุรี!I528"")"),528)</f>
        <v>528</v>
      </c>
      <c r="J633" s="341">
        <f ca="1">IFERROR(__xludf.DUMMYFUNCTION("IMPORTRANGE(""https://docs.google.com/spreadsheets/d/1SX6NBoVAgQJ6U1MVXOaj8PK2l7WJ3RER9xtqwdhxkhw/edit?usp=sharing"",""สุพรรณบุรี!J528"")"),110)</f>
        <v>110</v>
      </c>
      <c r="K633" s="342">
        <f t="shared" ca="1" si="129"/>
        <v>20.833333333333332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1">
        <f ca="1">IFERROR(__xludf.DUMMYFUNCTION("IMPORTRANGE(""https://docs.google.com/spreadsheets/d/1SX6NBoVAgQJ6U1MVXOaj8PK2l7WJ3RER9xtqwdhxkhw/edit?usp=sharing"",""สุพรรณบุรี!J529"")"),2430000)</f>
        <v>2430000</v>
      </c>
      <c r="K634" s="342">
        <f t="shared" ca="1" si="129"/>
        <v>10.59285091543156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IFERROR(__xludf.DUMMYFUNCTION("IMPORTRANGE(""https://docs.google.com/spreadsheets/d/1SX6NBoVAgQJ6U1MVXOaj8PK2l7WJ3RER9xtqwdhxkhw/edit?usp=sharing"",""สุพรรณบุรี!I530"")"),568)</f>
        <v>568</v>
      </c>
      <c r="J635" s="504">
        <f ca="1">IFERROR(__xludf.DUMMYFUNCTION("IMPORTRANGE(""https://docs.google.com/spreadsheets/d/1SX6NBoVAgQJ6U1MVXOaj8PK2l7WJ3RER9xtqwdhxkhw/edit?usp=sharing"",""สุพรรณบุรี!J530"")"),64)</f>
        <v>64</v>
      </c>
      <c r="K635" s="486">
        <f t="shared" ca="1" si="129"/>
        <v>11.267605633802816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42578125" customWidth="1"/>
    <col min="8" max="8" width="10.85546875" customWidth="1"/>
    <col min="9" max="9" width="12.5703125" bestFit="1" customWidth="1"/>
    <col min="10" max="10" width="15.85546875" customWidth="1"/>
    <col min="11" max="11" width="11" customWidth="1"/>
    <col min="12" max="12" width="17.85546875" customWidth="1"/>
    <col min="13" max="14" width="15.71093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278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1995350</v>
      </c>
      <c r="M8" s="23">
        <f t="shared" ca="1" si="0"/>
        <v>923732</v>
      </c>
      <c r="N8" s="23">
        <f t="shared" ca="1" si="0"/>
        <v>891696</v>
      </c>
      <c r="O8" s="22">
        <f t="shared" ref="O8:O16" ca="1" si="1">IF(L8&gt;0,N8*100/L8,0)</f>
        <v>44.688701230360586</v>
      </c>
      <c r="P8" s="22">
        <f t="shared" ref="P8:P16" ca="1" si="2">IF(M8&gt;0,N8*100/M8,0)</f>
        <v>96.531894532180331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1995350</v>
      </c>
      <c r="M10" s="30">
        <f t="shared" ca="1" si="4"/>
        <v>923732</v>
      </c>
      <c r="N10" s="30">
        <f t="shared" ca="1" si="4"/>
        <v>891696</v>
      </c>
      <c r="O10" s="29">
        <f t="shared" ca="1" si="1"/>
        <v>44.688701230360586</v>
      </c>
      <c r="P10" s="29">
        <f t="shared" ca="1" si="2"/>
        <v>96.531894532180331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1856350</v>
      </c>
      <c r="M12" s="38">
        <f t="shared" ca="1" si="6"/>
        <v>784732</v>
      </c>
      <c r="N12" s="38">
        <f t="shared" ca="1" si="6"/>
        <v>752696</v>
      </c>
      <c r="O12" s="38">
        <f t="shared" ca="1" si="1"/>
        <v>40.547095105987559</v>
      </c>
      <c r="P12" s="38">
        <f t="shared" ca="1" si="2"/>
        <v>95.917587150772491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406450</v>
      </c>
      <c r="M14" s="38">
        <f t="shared" si="8"/>
        <v>0</v>
      </c>
      <c r="N14" s="38">
        <f t="shared" ca="1" si="8"/>
        <v>64855</v>
      </c>
      <c r="O14" s="38">
        <f t="shared" ca="1" si="1"/>
        <v>15.956452208143682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1665410</v>
      </c>
      <c r="M18" s="23">
        <f t="shared" ca="1" si="11"/>
        <v>923732</v>
      </c>
      <c r="N18" s="23">
        <f t="shared" ca="1" si="11"/>
        <v>826841</v>
      </c>
      <c r="O18" s="22">
        <f t="shared" ref="O18:O20" ca="1" si="12">IF(L18&gt;0,N18*100/L18,0)</f>
        <v>49.647894512462393</v>
      </c>
      <c r="P18" s="22">
        <f t="shared" ref="P18:P26" ca="1" si="13">IF(M18&gt;0,N18*100/M18,0)</f>
        <v>89.510918751326145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1665410</v>
      </c>
      <c r="M20" s="30">
        <f t="shared" ca="1" si="15"/>
        <v>923732</v>
      </c>
      <c r="N20" s="30">
        <f t="shared" ca="1" si="15"/>
        <v>826841</v>
      </c>
      <c r="O20" s="29">
        <f t="shared" ca="1" si="12"/>
        <v>49.647894512462393</v>
      </c>
      <c r="P20" s="29">
        <f t="shared" ca="1" si="13"/>
        <v>89.510918751326145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784732</v>
      </c>
      <c r="N22" s="38">
        <f t="shared" ca="1" si="18"/>
        <v>687841</v>
      </c>
      <c r="O22" s="38">
        <f t="shared" ca="1" si="17"/>
        <v>45.062663373536601</v>
      </c>
      <c r="P22" s="38">
        <f t="shared" ca="1" si="13"/>
        <v>87.652982164611615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329940</v>
      </c>
      <c r="M28" s="23">
        <f t="shared" si="23"/>
        <v>0</v>
      </c>
      <c r="N28" s="23">
        <f t="shared" ca="1" si="23"/>
        <v>64855</v>
      </c>
      <c r="O28" s="22">
        <f t="shared" ref="O28:O30" ca="1" si="24">IF(L28&gt;0,N28*100/L28,0)</f>
        <v>19.656604231072315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329940</v>
      </c>
      <c r="M30" s="30">
        <f t="shared" si="27"/>
        <v>0</v>
      </c>
      <c r="N30" s="30">
        <f t="shared" ca="1" si="27"/>
        <v>64855</v>
      </c>
      <c r="O30" s="29">
        <f t="shared" ca="1" si="24"/>
        <v>19.656604231072315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329940</v>
      </c>
      <c r="M32" s="38">
        <f t="shared" si="30"/>
        <v>0</v>
      </c>
      <c r="N32" s="38">
        <f t="shared" ca="1" si="30"/>
        <v>64855</v>
      </c>
      <c r="O32" s="38">
        <f t="shared" ca="1" si="29"/>
        <v>19.656604231072315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329940</v>
      </c>
      <c r="M34" s="38">
        <f t="shared" si="32"/>
        <v>0</v>
      </c>
      <c r="N34" s="38">
        <f t="shared" ca="1" si="32"/>
        <v>64855</v>
      </c>
      <c r="O34" s="38">
        <f t="shared" ca="1" si="29"/>
        <v>19.656604231072315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1665410</v>
      </c>
      <c r="M37" s="54">
        <f t="shared" ca="1" si="33"/>
        <v>923732</v>
      </c>
      <c r="N37" s="54">
        <f t="shared" ca="1" si="33"/>
        <v>826841</v>
      </c>
      <c r="O37" s="55">
        <f t="shared" ca="1" si="29"/>
        <v>49.647894512462393</v>
      </c>
      <c r="P37" s="55">
        <f t="shared" ca="1" si="25"/>
        <v>89.510918751326145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418100</v>
      </c>
      <c r="N41" s="78">
        <f t="shared" ca="1" si="34"/>
        <v>395352</v>
      </c>
      <c r="O41" s="77">
        <f t="shared" ref="O41:O43" ca="1" si="35">IF(L41&gt;0,N41*100/L41,0)</f>
        <v>47.28525296017223</v>
      </c>
      <c r="P41" s="77">
        <f t="shared" ref="P41:P43" ca="1" si="36">IF(M41&gt;0,N41*100/M41,0)</f>
        <v>94.559196364506093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418100</v>
      </c>
      <c r="N43" s="78">
        <f t="shared" ca="1" si="38"/>
        <v>395352</v>
      </c>
      <c r="O43" s="77">
        <f t="shared" ca="1" si="35"/>
        <v>47.28525296017223</v>
      </c>
      <c r="P43" s="77">
        <f t="shared" ca="1" si="36"/>
        <v>94.559196364506093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IFERROR(__xludf.DUMMYFUNCTION("IMPORTRANGE(""https://docs.google.com/spreadsheets/d/1Yj_ptqi66GCucihVvJfMjLAmec39IyEx_6qawtMGysU/edit?usp=sharing"",""สบก!Q79"")"),418100)</f>
        <v>418100</v>
      </c>
      <c r="N45" s="49">
        <f ca="1">IFERROR(__xludf.DUMMYFUNCTION("IMPORTRANGE(""https://docs.google.com/spreadsheets/d/1Yj_ptqi66GCucihVvJfMjLAmec39IyEx_6qawtMGysU/edit?usp=sharing"",""สบก!R79"")"),395352)</f>
        <v>395352</v>
      </c>
      <c r="O45" s="38">
        <f ca="1">IF(L45&gt;0,N45*100/L45,0)</f>
        <v>47.28525296017223</v>
      </c>
      <c r="P45" s="38">
        <f ca="1">IF(M45&gt;0,N45*100/M45,0)</f>
        <v>94.559196364506093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69922</v>
      </c>
      <c r="N53" s="121">
        <f t="shared" ca="1" si="39"/>
        <v>68964</v>
      </c>
      <c r="O53" s="120">
        <f t="shared" ref="O53:O55" ca="1" si="40">IF(L53&gt;0,N53*100/L53,0)</f>
        <v>57.47</v>
      </c>
      <c r="P53" s="120">
        <f t="shared" ref="P53:P55" ca="1" si="41">IF(M53&gt;0,N53*100/M53,0)</f>
        <v>98.629901890678184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69922</v>
      </c>
      <c r="N55" s="121">
        <f t="shared" ca="1" si="43"/>
        <v>68964</v>
      </c>
      <c r="O55" s="120">
        <f t="shared" ca="1" si="40"/>
        <v>57.47</v>
      </c>
      <c r="P55" s="120">
        <f t="shared" ca="1" si="41"/>
        <v>98.629901890678184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IFERROR(__xludf.DUMMYFUNCTION("IMPORTRANGE(""https://docs.google.com/spreadsheets/d/1Yj_ptqi66GCucihVvJfMjLAmec39IyEx_6qawtMGysU/edit?usp=sharing"",""สบก!Z79"")"),69922)</f>
        <v>69922</v>
      </c>
      <c r="N57" s="49">
        <f ca="1">IFERROR(__xludf.DUMMYFUNCTION("IMPORTRANGE(""https://docs.google.com/spreadsheets/d/1Yj_ptqi66GCucihVvJfMjLAmec39IyEx_6qawtMGysU/edit?usp=sharing"",""สบก!AA79"")"),68964)</f>
        <v>68964</v>
      </c>
      <c r="O57" s="38">
        <f ca="1">IF(L57&gt;0,N57*100/L57,0)</f>
        <v>57.47</v>
      </c>
      <c r="P57" s="38">
        <f ca="1">IF(M57&gt;0,N57*100/M57,0)</f>
        <v>98.629901890678184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IFERROR(__xludf.DUMMYFUNCTION("IMPORTRANGE(""https://docs.google.com/spreadsheets/d/1Yj_ptqi66GCucihVvJfMjLAmec39IyEx_6qawtMGysU/edit?usp=sharing"",""สบก!AI79"")"),0)</f>
        <v>0</v>
      </c>
      <c r="N70" s="170">
        <f ca="1">IFERROR(__xludf.DUMMYFUNCTION("IMPORTRANGE(""https://docs.google.com/spreadsheets/d/1Yj_ptqi66GCucihVvJfMjLAmec39IyEx_6qawtMGysU/edit?usp=sharing"",""สบก!AJ79"")"),0)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IFERROR(__xludf.DUMMYFUNCTION("IMPORTRANGE(""https://docs.google.com/spreadsheets/d/1Yj_ptqi66GCucihVvJfMjLAmec39IyEx_6qawtMGysU/edit?usp=sharing"",""สบก!AE79"")"),0)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IFERROR(__xludf.DUMMYFUNCTION("IMPORTRANGE(""https://docs.google.com/spreadsheets/d/1Yj_ptqi66GCucihVvJfMjLAmec39IyEx_6qawtMGysU/edit?usp=sharing"",""สบก!AF79"")"),0)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IFERROR(__xludf.DUMMYFUNCTION("IMPORTRANGE(""https://docs.google.com/spreadsheets/d/1SX6NBoVAgQJ6U1MVXOaj8PK2l7WJ3RER9xtqwdhxkhw/edit?usp=sharing"",""อ่างทอง!J16"")"),0)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IFERROR(__xludf.DUMMYFUNCTION("IMPORTRANGE(""https://docs.google.com/spreadsheets/d/1SX6NBoVAgQJ6U1MVXOaj8PK2l7WJ3RER9xtqwdhxkhw/edit?usp=sharing"",""อ่างทอง!J17"")"),0)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IFERROR(__xludf.DUMMYFUNCTION("IMPORTRANGE(""https://docs.google.com/spreadsheets/d/1SX6NBoVAgQJ6U1MVXOaj8PK2l7WJ3RER9xtqwdhxkhw/edit?usp=sharing"",""อ่างทอง!J18"")"),0)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IFERROR(__xludf.DUMMYFUNCTION("IMPORTRANGE(""https://docs.google.com/spreadsheets/d/1SX6NBoVAgQJ6U1MVXOaj8PK2l7WJ3RER9xtqwdhxkhw/edit?usp=sharing"",""อ่างทอง!J19"")"),0)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IFERROR(__xludf.DUMMYFUNCTION("IMPORTRANGE(""https://docs.google.com/spreadsheets/d/1SX6NBoVAgQJ6U1MVXOaj8PK2l7WJ3RER9xtqwdhxkhw/edit?usp=sharing"",""อ่างทอง!I20"")"),0)</f>
        <v>0</v>
      </c>
      <c r="J80" s="202">
        <f ca="1">IFERROR(__xludf.DUMMYFUNCTION("IMPORTRANGE(""https://docs.google.com/spreadsheets/d/1SX6NBoVAgQJ6U1MVXOaj8PK2l7WJ3RER9xtqwdhxkhw/edit?usp=sharing"",""อ่างทอง!J20"")"),0)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IFERROR(__xludf.DUMMYFUNCTION("IMPORTRANGE(""https://docs.google.com/spreadsheets/d/1SX6NBoVAgQJ6U1MVXOaj8PK2l7WJ3RER9xtqwdhxkhw/edit?usp=sharing"",""อ่างทอง!I21"")"),0)</f>
        <v>0</v>
      </c>
      <c r="J81" s="202">
        <f ca="1">IFERROR(__xludf.DUMMYFUNCTION("IMPORTRANGE(""https://docs.google.com/spreadsheets/d/1SX6NBoVAgQJ6U1MVXOaj8PK2l7WJ3RER9xtqwdhxkhw/edit?usp=sharing"",""อ่างทอง!J21"")"),0)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IFERROR(__xludf.DUMMYFUNCTION("IMPORTRANGE(""https://docs.google.com/spreadsheets/d/1SX6NBoVAgQJ6U1MVXOaj8PK2l7WJ3RER9xtqwdhxkhw/edit?usp=sharing"",""อ่างทอง!I22"")"),0)</f>
        <v>0</v>
      </c>
      <c r="J82" s="205">
        <f ca="1">IFERROR(__xludf.DUMMYFUNCTION("IMPORTRANGE(""https://docs.google.com/spreadsheets/d/1SX6NBoVAgQJ6U1MVXOaj8PK2l7WJ3RER9xtqwdhxkhw/edit?usp=sharing"",""อ่างทอง!J22"")"),0)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IFERROR(__xludf.DUMMYFUNCTION("IMPORTRANGE(""https://docs.google.com/spreadsheets/d/1SX6NBoVAgQJ6U1MVXOaj8PK2l7WJ3RER9xtqwdhxkhw/edit?usp=sharing"",""อ่างทอง!I23"")"),0)</f>
        <v>0</v>
      </c>
      <c r="J83" s="205">
        <f ca="1">IFERROR(__xludf.DUMMYFUNCTION("IMPORTRANGE(""https://docs.google.com/spreadsheets/d/1SX6NBoVAgQJ6U1MVXOaj8PK2l7WJ3RER9xtqwdhxkhw/edit?usp=sharing"",""อ่างทอง!J23"")"),0)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IFERROR(__xludf.DUMMYFUNCTION("IMPORTRANGE(""https://docs.google.com/spreadsheets/d/1SX6NBoVAgQJ6U1MVXOaj8PK2l7WJ3RER9xtqwdhxkhw/edit?usp=sharing"",""อ่างทอง!I24"")"),0)</f>
        <v>0</v>
      </c>
      <c r="J84" s="190">
        <f ca="1">IFERROR(__xludf.DUMMYFUNCTION("IMPORTRANGE(""https://docs.google.com/spreadsheets/d/1SX6NBoVAgQJ6U1MVXOaj8PK2l7WJ3RER9xtqwdhxkhw/edit?usp=sharing"",""อ่างทอง!J24"")"),0)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IFERROR(__xludf.DUMMYFUNCTION("IMPORTRANGE(""https://docs.google.com/spreadsheets/d/1SX6NBoVAgQJ6U1MVXOaj8PK2l7WJ3RER9xtqwdhxkhw/edit?usp=sharing"",""อ่างทอง!I25"")"),0)</f>
        <v>0</v>
      </c>
      <c r="J85" s="190">
        <f ca="1">IFERROR(__xludf.DUMMYFUNCTION("IMPORTRANGE(""https://docs.google.com/spreadsheets/d/1SX6NBoVAgQJ6U1MVXOaj8PK2l7WJ3RER9xtqwdhxkhw/edit?usp=sharing"",""อ่างทอง!J25"")"),0)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IFERROR(__xludf.DUMMYFUNCTION("IMPORTRANGE(""https://docs.google.com/spreadsheets/d/1SX6NBoVAgQJ6U1MVXOaj8PK2l7WJ3RER9xtqwdhxkhw/edit?usp=sharing"",""อ่างทอง!I26"")"),0)</f>
        <v>0</v>
      </c>
      <c r="J86" s="205">
        <f ca="1">IFERROR(__xludf.DUMMYFUNCTION("IMPORTRANGE(""https://docs.google.com/spreadsheets/d/1SX6NBoVAgQJ6U1MVXOaj8PK2l7WJ3RER9xtqwdhxkhw/edit?usp=sharing"",""อ่างทอง!J26"")"),0)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IFERROR(__xludf.DUMMYFUNCTION("IMPORTRANGE(""https://docs.google.com/spreadsheets/d/1SX6NBoVAgQJ6U1MVXOaj8PK2l7WJ3RER9xtqwdhxkhw/edit?usp=sharing"",""อ่างทอง!I27"")"),0)</f>
        <v>0</v>
      </c>
      <c r="J87" s="205">
        <f ca="1">IFERROR(__xludf.DUMMYFUNCTION("IMPORTRANGE(""https://docs.google.com/spreadsheets/d/1SX6NBoVAgQJ6U1MVXOaj8PK2l7WJ3RER9xtqwdhxkhw/edit?usp=sharing"",""อ่างทอง!J27"")"),0)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IFERROR(__xludf.DUMMYFUNCTION("IMPORTRANGE(""https://docs.google.com/spreadsheets/d/1SX6NBoVAgQJ6U1MVXOaj8PK2l7WJ3RER9xtqwdhxkhw/edit?usp=sharing"",""อ่างทอง!I28"")"),0)</f>
        <v>0</v>
      </c>
      <c r="J88" s="205">
        <f ca="1">IFERROR(__xludf.DUMMYFUNCTION("IMPORTRANGE(""https://docs.google.com/spreadsheets/d/1SX6NBoVAgQJ6U1MVXOaj8PK2l7WJ3RER9xtqwdhxkhw/edit?usp=sharing"",""อ่างทอง!J28"")"),0)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IFERROR(__xludf.DUMMYFUNCTION("IMPORTRANGE(""https://docs.google.com/spreadsheets/d/1SX6NBoVAgQJ6U1MVXOaj8PK2l7WJ3RER9xtqwdhxkhw/edit?usp=sharing"",""อ่างทอง!J29"")"),0)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IFERROR(__xludf.DUMMYFUNCTION("IMPORTRANGE(""https://docs.google.com/spreadsheets/d/1Yj_ptqi66GCucihVvJfMjLAmec39IyEx_6qawtMGysU/edit?usp=sharing"",""สบก!AR79"")"),0)</f>
        <v>0</v>
      </c>
      <c r="N98" s="170">
        <f ca="1">IFERROR(__xludf.DUMMYFUNCTION("IMPORTRANGE(""https://docs.google.com/spreadsheets/d/1Yj_ptqi66GCucihVvJfMjLAmec39IyEx_6qawtMGysU/edit?usp=sharing"",""สบก!AS79"")"),0)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IFERROR(__xludf.DUMMYFUNCTION("IMPORTRANGE(""https://docs.google.com/spreadsheets/d/1Yj_ptqi66GCucihVvJfMjLAmec39IyEx_6qawtMGysU/edit?usp=sharing"",""สบก!AN79"")"),0)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IFERROR(__xludf.DUMMYFUNCTION("IMPORTRANGE(""https://docs.google.com/spreadsheets/d/1Yj_ptqi66GCucihVvJfMjLAmec39IyEx_6qawtMGysU/edit?usp=sharing"",""สบก!AO79"")"),0)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IFERROR(__xludf.DUMMYFUNCTION("IMPORTRANGE(""https://docs.google.com/spreadsheets/d/1SX6NBoVAgQJ6U1MVXOaj8PK2l7WJ3RER9xtqwdhxkhw/edit?usp=sharing"",""อ่างทอง!I43"")"),0)</f>
        <v>0</v>
      </c>
      <c r="J108" s="205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IFERROR(__xludf.DUMMYFUNCTION("IMPORTRANGE(""https://docs.google.com/spreadsheets/d/1SX6NBoVAgQJ6U1MVXOaj8PK2l7WJ3RER9xtqwdhxkhw/edit?usp=sharing"",""อ่างทอง!I44"")"),0)</f>
        <v>0</v>
      </c>
      <c r="J109" s="205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IFERROR(__xludf.DUMMYFUNCTION("IMPORTRANGE(""https://docs.google.com/spreadsheets/d/1SX6NBoVAgQJ6U1MVXOaj8PK2l7WJ3RER9xtqwdhxkhw/edit?usp=sharing"",""อ่างทอง!I45"")"),0)</f>
        <v>0</v>
      </c>
      <c r="J110" s="205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IFERROR(__xludf.DUMMYFUNCTION("IMPORTRANGE(""https://docs.google.com/spreadsheets/d/1SX6NBoVAgQJ6U1MVXOaj8PK2l7WJ3RER9xtqwdhxkhw/edit?usp=sharing"",""อ่างทอง!I46"")"),0)</f>
        <v>0</v>
      </c>
      <c r="J111" s="205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IFERROR(__xludf.DUMMYFUNCTION("IMPORTRANGE(""https://docs.google.com/spreadsheets/d/1SX6NBoVAgQJ6U1MVXOaj8PK2l7WJ3RER9xtqwdhxkhw/edit?usp=sharing"",""อ่างทอง!I47"")"),0)</f>
        <v>0</v>
      </c>
      <c r="J112" s="205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IFERROR(__xludf.DUMMYFUNCTION("IMPORTRANGE(""https://docs.google.com/spreadsheets/d/1SX6NBoVAgQJ6U1MVXOaj8PK2l7WJ3RER9xtqwdhxkhw/edit?usp=sharing"",""อ่างทอง!I48"")"),0)</f>
        <v>0</v>
      </c>
      <c r="J113" s="205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IFERROR(__xludf.DUMMYFUNCTION("IMPORTRANGE(""https://docs.google.com/spreadsheets/d/1Yj_ptqi66GCucihVvJfMjLAmec39IyEx_6qawtMGysU/edit?usp=sharing"",""สบก!BA79"")"),0)</f>
        <v>0</v>
      </c>
      <c r="N122" s="170">
        <f ca="1">IFERROR(__xludf.DUMMYFUNCTION("IMPORTRANGE(""https://docs.google.com/spreadsheets/d/1Yj_ptqi66GCucihVvJfMjLAmec39IyEx_6qawtMGysU/edit?usp=sharing"",""สบก!BB79"")"),0)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IFERROR(__xludf.DUMMYFUNCTION("IMPORTRANGE(""https://docs.google.com/spreadsheets/d/1Yj_ptqi66GCucihVvJfMjLAmec39IyEx_6qawtMGysU/edit?usp=sharing"",""สบก!AW79"")"),0)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IFERROR(__xludf.DUMMYFUNCTION("IMPORTRANGE(""https://docs.google.com/spreadsheets/d/1Yj_ptqi66GCucihVvJfMjLAmec39IyEx_6qawtMGysU/edit?usp=sharing"",""สบก!AX79"")"),0)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279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IFERROR(__xludf.DUMMYFUNCTION("IMPORTRANGE(""https://docs.google.com/spreadsheets/d/1SX6NBoVAgQJ6U1MVXOaj8PK2l7WJ3RER9xtqwdhxkhw/edit?usp=sharing"",""อ่างทอง!I62"")"),0)</f>
        <v>0</v>
      </c>
      <c r="J132" s="205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IFERROR(__xludf.DUMMYFUNCTION("IMPORTRANGE(""https://docs.google.com/spreadsheets/d/1SX6NBoVAgQJ6U1MVXOaj8PK2l7WJ3RER9xtqwdhxkhw/edit?usp=sharing"",""อ่างทอง!I63"")"),0)</f>
        <v>0</v>
      </c>
      <c r="J133" s="205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28400</v>
      </c>
      <c r="M140" s="152">
        <f t="shared" ca="1" si="64"/>
        <v>25750</v>
      </c>
      <c r="N140" s="152">
        <f t="shared" ca="1" si="64"/>
        <v>14000</v>
      </c>
      <c r="O140" s="151">
        <f t="shared" ref="O140:O142" ca="1" si="65">IF(L140&gt;0,N140*100/L140,0)</f>
        <v>49.29577464788732</v>
      </c>
      <c r="P140" s="151">
        <f t="shared" ref="P140:P142" ca="1" si="66">IF(M140&gt;0,N140*100/M140,0)</f>
        <v>54.368932038834949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28400</v>
      </c>
      <c r="M142" s="157">
        <f t="shared" ca="1" si="68"/>
        <v>25750</v>
      </c>
      <c r="N142" s="157">
        <f t="shared" ca="1" si="68"/>
        <v>14000</v>
      </c>
      <c r="O142" s="156">
        <f t="shared" ca="1" si="65"/>
        <v>49.29577464788732</v>
      </c>
      <c r="P142" s="156">
        <f t="shared" ca="1" si="66"/>
        <v>54.368932038834949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28400</v>
      </c>
      <c r="M144" s="169">
        <f ca="1">IFERROR(__xludf.DUMMYFUNCTION("IMPORTRANGE(""https://docs.google.com/spreadsheets/d/1Yj_ptqi66GCucihVvJfMjLAmec39IyEx_6qawtMGysU/edit?usp=sharing"",""สบก!BJ79"")"),25750)</f>
        <v>25750</v>
      </c>
      <c r="N144" s="170">
        <f ca="1">IFERROR(__xludf.DUMMYFUNCTION("IMPORTRANGE(""https://docs.google.com/spreadsheets/d/1Yj_ptqi66GCucihVvJfMjLAmec39IyEx_6qawtMGysU/edit?usp=sharing"",""สบก!BK79"")"),14000)</f>
        <v>14000</v>
      </c>
      <c r="O144" s="170">
        <f ca="1">IF(L144&gt;0,N144*100/L144,0)</f>
        <v>49.29577464788732</v>
      </c>
      <c r="P144" s="170">
        <f ca="1">IF(M144&gt;0,N144*100/M144,0)</f>
        <v>54.368932038834949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IFERROR(__xludf.DUMMYFUNCTION("IMPORTRANGE(""https://docs.google.com/spreadsheets/d/1Yj_ptqi66GCucihVvJfMjLAmec39IyEx_6qawtMGysU/edit?usp=sharing"",""สบก!BF79"")"),0)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IFERROR(__xludf.DUMMYFUNCTION("IMPORTRANGE(""https://docs.google.com/spreadsheets/d/1Yj_ptqi66GCucihVvJfMjLAmec39IyEx_6qawtMGysU/edit?usp=sharing"",""สบก!BG79"")"),28400)</f>
        <v>28400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IFERROR(__xludf.DUMMYFUNCTION("IMPORTRANGE(""https://docs.google.com/spreadsheets/d/1SX6NBoVAgQJ6U1MVXOaj8PK2l7WJ3RER9xtqwdhxkhw/edit?usp=sharing"",""อ่างทอง!J79"")"),0)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IFERROR(__xludf.DUMMYFUNCTION("IMPORTRANGE(""https://docs.google.com/spreadsheets/d/1SX6NBoVAgQJ6U1MVXOaj8PK2l7WJ3RER9xtqwdhxkhw/edit?usp=sharing"",""อ่างทอง!J80"")"),0)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IFERROR(__xludf.DUMMYFUNCTION("IMPORTRANGE(""https://docs.google.com/spreadsheets/d/1SX6NBoVAgQJ6U1MVXOaj8PK2l7WJ3RER9xtqwdhxkhw/edit?usp=sharing"",""อ่างทอง!J81"")"),0)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IFERROR(__xludf.DUMMYFUNCTION("IMPORTRANGE(""https://docs.google.com/spreadsheets/d/1SX6NBoVAgQJ6U1MVXOaj8PK2l7WJ3RER9xtqwdhxkhw/edit?usp=sharing"",""อ่างทอง!J82"")"),1)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IFERROR(__xludf.DUMMYFUNCTION("IMPORTRANGE(""https://docs.google.com/spreadsheets/d/1SX6NBoVAgQJ6U1MVXOaj8PK2l7WJ3RER9xtqwdhxkhw/edit?usp=sharing"",""อ่างทอง!I83"")"),4)</f>
        <v>4</v>
      </c>
      <c r="J158" s="190">
        <f ca="1">IFERROR(__xludf.DUMMYFUNCTION("IMPORTRANGE(""https://docs.google.com/spreadsheets/d/1SX6NBoVAgQJ6U1MVXOaj8PK2l7WJ3RER9xtqwdhxkhw/edit?usp=sharing"",""อ่างทอง!J83"")"),2)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IFERROR(__xludf.DUMMYFUNCTION("IMPORTRANGE(""https://docs.google.com/spreadsheets/d/1SX6NBoVAgQJ6U1MVXOaj8PK2l7WJ3RER9xtqwdhxkhw/edit?usp=sharing"",""อ่างทอง!J84"")"),47)</f>
        <v>47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IFERROR(__xludf.DUMMYFUNCTION("IMPORTRANGE(""https://docs.google.com/spreadsheets/d/1SX6NBoVAgQJ6U1MVXOaj8PK2l7WJ3RER9xtqwdhxkhw/edit?usp=sharing"",""อ่างทอง!J85"")"),47)</f>
        <v>47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IFERROR(__xludf.DUMMYFUNCTION("IMPORTRANGE(""https://docs.google.com/spreadsheets/d/1SX6NBoVAgQJ6U1MVXOaj8PK2l7WJ3RER9xtqwdhxkhw/edit?usp=sharing"",""อ่างทอง!J86"")"),0)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IFERROR(__xludf.DUMMYFUNCTION("IMPORTRANGE(""https://docs.google.com/spreadsheets/d/1SX6NBoVAgQJ6U1MVXOaj8PK2l7WJ3RER9xtqwdhxkhw/edit?usp=sharing"",""อ่างทอง!J87"")"),0)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IFERROR(__xludf.DUMMYFUNCTION("IMPORTRANGE(""https://docs.google.com/spreadsheets/d/1SX6NBoVAgQJ6U1MVXOaj8PK2l7WJ3RER9xtqwdhxkhw/edit?usp=sharing"",""อ่างทอง!J88"")"),0)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IFERROR(__xludf.DUMMYFUNCTION("IMPORTRANGE(""https://docs.google.com/spreadsheets/d/1SX6NBoVAgQJ6U1MVXOaj8PK2l7WJ3RER9xtqwdhxkhw/edit?usp=sharing"",""อ่างทอง!I89"")"),1)</f>
        <v>1</v>
      </c>
      <c r="J164" s="284">
        <f ca="1">IFERROR(__xludf.DUMMYFUNCTION("IMPORTRANGE(""https://docs.google.com/spreadsheets/d/1SX6NBoVAgQJ6U1MVXOaj8PK2l7WJ3RER9xtqwdhxkhw/edit?usp=sharing"",""อ่างทอง!J89"")"),1)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IFERROR(__xludf.DUMMYFUNCTION("IMPORTRANGE(""https://docs.google.com/spreadsheets/d/1SX6NBoVAgQJ6U1MVXOaj8PK2l7WJ3RER9xtqwdhxkhw/edit?usp=sharing"",""อ่างทอง!J94"")"),0)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IFERROR(__xludf.DUMMYFUNCTION("IMPORTRANGE(""https://docs.google.com/spreadsheets/d/1SX6NBoVAgQJ6U1MVXOaj8PK2l7WJ3RER9xtqwdhxkhw/edit?usp=sharing"",""อ่างทอง!J95"")"),1)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IFERROR(__xludf.DUMMYFUNCTION("IMPORTRANGE(""https://docs.google.com/spreadsheets/d/1SX6NBoVAgQJ6U1MVXOaj8PK2l7WJ3RER9xtqwdhxkhw/edit?usp=sharing"",""อ่างทอง!J96"")"),1)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IFERROR(__xludf.DUMMYFUNCTION("IMPORTRANGE(""https://docs.google.com/spreadsheets/d/1SX6NBoVAgQJ6U1MVXOaj8PK2l7WJ3RER9xtqwdhxkhw/edit?usp=sharing"",""อ่างทอง!J97"")"),1)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IFERROR(__xludf.DUMMYFUNCTION("IMPORTRANGE(""https://docs.google.com/spreadsheets/d/1SX6NBoVAgQJ6U1MVXOaj8PK2l7WJ3RER9xtqwdhxkhw/edit?usp=sharing"",""อ่างทอง!I98"")"),1)</f>
        <v>1</v>
      </c>
      <c r="J173" s="190">
        <f ca="1">IFERROR(__xludf.DUMMYFUNCTION("IMPORTRANGE(""https://docs.google.com/spreadsheets/d/1SX6NBoVAgQJ6U1MVXOaj8PK2l7WJ3RER9xtqwdhxkhw/edit?usp=sharing"",""อ่างทอง!J98"")"),1)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IFERROR(__xludf.DUMMYFUNCTION("IMPORTRANGE(""https://docs.google.com/spreadsheets/d/1SX6NBoVAgQJ6U1MVXOaj8PK2l7WJ3RER9xtqwdhxkhw/edit?usp=sharing"",""อ่างทอง!J99"")"),0)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IFERROR(__xludf.DUMMYFUNCTION("IMPORTRANGE(""https://docs.google.com/spreadsheets/d/1SX6NBoVAgQJ6U1MVXOaj8PK2l7WJ3RER9xtqwdhxkhw/edit?usp=sharing"",""อ่างทอง!J100"")"),0)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IFERROR(__xludf.DUMMYFUNCTION("IMPORTRANGE(""https://docs.google.com/spreadsheets/d/1SX6NBoVAgQJ6U1MVXOaj8PK2l7WJ3RER9xtqwdhxkhw/edit?usp=sharing"",""อ่างทอง!I101"")"),0)</f>
        <v>0</v>
      </c>
      <c r="J176" s="284">
        <f ca="1">IFERROR(__xludf.DUMMYFUNCTION("IMPORTRANGE(""https://docs.google.com/spreadsheets/d/1SX6NBoVAgQJ6U1MVXOaj8PK2l7WJ3RER9xtqwdhxkhw/edit?usp=sharing"",""อ่างทอง!J101"")"),0)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IFERROR(__xludf.DUMMYFUNCTION("IMPORTRANGE(""https://docs.google.com/spreadsheets/d/1SX6NBoVAgQJ6U1MVXOaj8PK2l7WJ3RER9xtqwdhxkhw/edit?usp=sharing"",""อ่างทอง!I110"")"),0)</f>
        <v>0</v>
      </c>
      <c r="J185" s="205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IFERROR(__xludf.DUMMYFUNCTION("IMPORTRANGE(""https://docs.google.com/spreadsheets/d/1SX6NBoVAgQJ6U1MVXOaj8PK2l7WJ3RER9xtqwdhxkhw/edit?usp=sharing"",""อ่างทอง!I111"")"),0)</f>
        <v>0</v>
      </c>
      <c r="J186" s="205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IFERROR(__xludf.DUMMYFUNCTION("IMPORTRANGE(""https://docs.google.com/spreadsheets/d/1SX6NBoVAgQJ6U1MVXOaj8PK2l7WJ3RER9xtqwdhxkhw/edit?usp=sharing"",""อ่างทอง!I114"")"),5000)</f>
        <v>5000</v>
      </c>
      <c r="J189" s="284">
        <f ca="1">IFERROR(__xludf.DUMMYFUNCTION("IMPORTRANGE(""https://docs.google.com/spreadsheets/d/1SX6NBoVAgQJ6U1MVXOaj8PK2l7WJ3RER9xtqwdhxkhw/edit?usp=sharing"",""อ่างทอง!J114"")"),0)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IFERROR(__xludf.DUMMYFUNCTION("IMPORTRANGE(""https://docs.google.com/spreadsheets/d/1SX6NBoVAgQJ6U1MVXOaj8PK2l7WJ3RER9xtqwdhxkhw/edit?usp=sharing"",""อ่างทอง!J119"")"),0)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IFERROR(__xludf.DUMMYFUNCTION("IMPORTRANGE(""https://docs.google.com/spreadsheets/d/1SX6NBoVAgQJ6U1MVXOaj8PK2l7WJ3RER9xtqwdhxkhw/edit?usp=sharing"",""อ่างทอง!J120"")"),1)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IFERROR(__xludf.DUMMYFUNCTION("IMPORTRANGE(""https://docs.google.com/spreadsheets/d/1SX6NBoVAgQJ6U1MVXOaj8PK2l7WJ3RER9xtqwdhxkhw/edit?usp=sharing"",""อ่างทอง!J121"")"),1)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IFERROR(__xludf.DUMMYFUNCTION("IMPORTRANGE(""https://docs.google.com/spreadsheets/d/1SX6NBoVAgQJ6U1MVXOaj8PK2l7WJ3RER9xtqwdhxkhw/edit?usp=sharing"",""อ่างทอง!J122"")"),1)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IFERROR(__xludf.DUMMYFUNCTION("IMPORTRANGE(""https://docs.google.com/spreadsheets/d/1SX6NBoVAgQJ6U1MVXOaj8PK2l7WJ3RER9xtqwdhxkhw/edit?usp=sharing"",""อ่างทอง!I124"")"),5000)</f>
        <v>5000</v>
      </c>
      <c r="J199" s="190">
        <f ca="1">IFERROR(__xludf.DUMMYFUNCTION("IMPORTRANGE(""https://docs.google.com/spreadsheets/d/1SX6NBoVAgQJ6U1MVXOaj8PK2l7WJ3RER9xtqwdhxkhw/edit?usp=sharing"",""อ่างทอง!J124"")"),0)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IFERROR(__xludf.DUMMYFUNCTION("IMPORTRANGE(""https://docs.google.com/spreadsheets/d/1SX6NBoVAgQJ6U1MVXOaj8PK2l7WJ3RER9xtqwdhxkhw/edit?usp=sharing"",""อ่างทอง!I125"")"),5000)</f>
        <v>5000</v>
      </c>
      <c r="J200" s="190">
        <f ca="1">IFERROR(__xludf.DUMMYFUNCTION("IMPORTRANGE(""https://docs.google.com/spreadsheets/d/1SX6NBoVAgQJ6U1MVXOaj8PK2l7WJ3RER9xtqwdhxkhw/edit?usp=sharing"",""อ่างทอง!J125"")"),0)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IFERROR(__xludf.DUMMYFUNCTION("IMPORTRANGE(""https://docs.google.com/spreadsheets/d/1SX6NBoVAgQJ6U1MVXOaj8PK2l7WJ3RER9xtqwdhxkhw/edit?usp=sharing"",""อ่างทอง!I126"")"),0)</f>
        <v>0</v>
      </c>
      <c r="J201" s="190">
        <f ca="1">IFERROR(__xludf.DUMMYFUNCTION("IMPORTRANGE(""https://docs.google.com/spreadsheets/d/1SX6NBoVAgQJ6U1MVXOaj8PK2l7WJ3RER9xtqwdhxkhw/edit?usp=sharing"",""อ่างทอง!J126"")"),0)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IFERROR(__xludf.DUMMYFUNCTION("IMPORTRANGE(""https://docs.google.com/spreadsheets/d/1SX6NBoVAgQJ6U1MVXOaj8PK2l7WJ3RER9xtqwdhxkhw/edit?usp=sharing"",""อ่างทอง!J127"")"),0)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IFERROR(__xludf.DUMMYFUNCTION("IMPORTRANGE(""https://docs.google.com/spreadsheets/d/1SX6NBoVAgQJ6U1MVXOaj8PK2l7WJ3RER9xtqwdhxkhw/edit?usp=sharing"",""อ่างทอง!J128"")"),0)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IFERROR(__xludf.DUMMYFUNCTION("IMPORTRANGE(""https://docs.google.com/spreadsheets/d/1SX6NBoVAgQJ6U1MVXOaj8PK2l7WJ3RER9xtqwdhxkhw/edit?usp=sharing"",""อ่างทอง!I129"")"),0)</f>
        <v>0</v>
      </c>
      <c r="J204" s="284">
        <f ca="1">IFERROR(__xludf.DUMMYFUNCTION("IMPORTRANGE(""https://docs.google.com/spreadsheets/d/1SX6NBoVAgQJ6U1MVXOaj8PK2l7WJ3RER9xtqwdhxkhw/edit?usp=sharing"",""อ่างทอง!J129"")"),0)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IFERROR(__xludf.DUMMYFUNCTION("IMPORTRANGE(""https://docs.google.com/spreadsheets/d/1SX6NBoVAgQJ6U1MVXOaj8PK2l7WJ3RER9xtqwdhxkhw/edit?usp=sharing"",""อ่างทอง!I138"")"),0)</f>
        <v>0</v>
      </c>
      <c r="J213" s="205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IFERROR(__xludf.DUMMYFUNCTION("IMPORTRANGE(""https://docs.google.com/spreadsheets/d/1SX6NBoVAgQJ6U1MVXOaj8PK2l7WJ3RER9xtqwdhxkhw/edit?usp=sharing"",""อ่างทอง!I140"")"),0)</f>
        <v>0</v>
      </c>
      <c r="J215" s="205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IFERROR(__xludf.DUMMYFUNCTION("IMPORTRANGE(""https://docs.google.com/spreadsheets/d/1SX6NBoVAgQJ6U1MVXOaj8PK2l7WJ3RER9xtqwdhxkhw/edit?usp=sharing"",""อ่างทอง!I141"")"),0)</f>
        <v>0</v>
      </c>
      <c r="J216" s="205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0</v>
      </c>
      <c r="M224" s="169">
        <f ca="1">IFERROR(__xludf.DUMMYFUNCTION("IMPORTRANGE(""https://docs.google.com/spreadsheets/d/1Yj_ptqi66GCucihVvJfMjLAmec39IyEx_6qawtMGysU/edit?usp=sharing"",""สบก!BS79"")"),0)</f>
        <v>0</v>
      </c>
      <c r="N224" s="170">
        <f ca="1">IFERROR(__xludf.DUMMYFUNCTION("IMPORTRANGE(""https://docs.google.com/spreadsheets/d/1Yj_ptqi66GCucihVvJfMjLAmec39IyEx_6qawtMGysU/edit?usp=sharing"",""สบก!BT79"")"),0)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IFERROR(__xludf.DUMMYFUNCTION("IMPORTRANGE(""https://docs.google.com/spreadsheets/d/1Yj_ptqi66GCucihVvJfMjLAmec39IyEx_6qawtMGysU/edit?usp=sharing"",""สบก!BO79"")"),0)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IFERROR(__xludf.DUMMYFUNCTION("IMPORTRANGE(""https://docs.google.com/spreadsheets/d/1Yj_ptqi66GCucihVvJfMjLAmec39IyEx_6qawtMGysU/edit?usp=sharing"",""สบก!BP79"")"),0)</f>
        <v>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IFERROR(__xludf.DUMMYFUNCTION("IMPORTRANGE(""https://docs.google.com/spreadsheets/d/1SX6NBoVAgQJ6U1MVXOaj8PK2l7WJ3RER9xtqwdhxkhw/edit?usp=sharing"",""อ่างทอง!J151"")"),0)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IFERROR(__xludf.DUMMYFUNCTION("IMPORTRANGE(""https://docs.google.com/spreadsheets/d/1SX6NBoVAgQJ6U1MVXOaj8PK2l7WJ3RER9xtqwdhxkhw/edit?usp=sharing"",""อ่างทอง!J152"")"),0)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IFERROR(__xludf.DUMMYFUNCTION("IMPORTRANGE(""https://docs.google.com/spreadsheets/d/1SX6NBoVAgQJ6U1MVXOaj8PK2l7WJ3RER9xtqwdhxkhw/edit?usp=sharing"",""อ่างทอง!J153"")"),0)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IFERROR(__xludf.DUMMYFUNCTION("IMPORTRANGE(""https://docs.google.com/spreadsheets/d/1SX6NBoVAgQJ6U1MVXOaj8PK2l7WJ3RER9xtqwdhxkhw/edit?usp=sharing"",""อ่างทอง!J154"")"),0)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IFERROR(__xludf.DUMMYFUNCTION("IMPORTRANGE(""https://docs.google.com/spreadsheets/d/1SX6NBoVAgQJ6U1MVXOaj8PK2l7WJ3RER9xtqwdhxkhw/edit?usp=sharing"",""อ่างทอง!I155"")"),0)</f>
        <v>0</v>
      </c>
      <c r="J235" s="190">
        <f ca="1">IFERROR(__xludf.DUMMYFUNCTION("IMPORTRANGE(""https://docs.google.com/spreadsheets/d/1SX6NBoVAgQJ6U1MVXOaj8PK2l7WJ3RER9xtqwdhxkhw/edit?usp=sharing"",""อ่างทอง!J155"")"),0)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IFERROR(__xludf.DUMMYFUNCTION("IMPORTRANGE(""https://docs.google.com/spreadsheets/d/1SX6NBoVAgQJ6U1MVXOaj8PK2l7WJ3RER9xtqwdhxkhw/edit?usp=sharing"",""อ่างทอง!J156"")"),0)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IFERROR(__xludf.DUMMYFUNCTION("IMPORTRANGE(""https://docs.google.com/spreadsheets/d/1SX6NBoVAgQJ6U1MVXOaj8PK2l7WJ3RER9xtqwdhxkhw/edit?usp=sharing"",""อ่างทอง!J159"")"),"")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IFERROR(__xludf.DUMMYFUNCTION("IMPORTRANGE(""https://docs.google.com/spreadsheets/d/1SX6NBoVAgQJ6U1MVXOaj8PK2l7WJ3RER9xtqwdhxkhw/edit?usp=sharing"",""อ่างทอง!J161"")"),0)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IFERROR(__xludf.DUMMYFUNCTION("IMPORTRANGE(""https://docs.google.com/spreadsheets/d/1SX6NBoVAgQJ6U1MVXOaj8PK2l7WJ3RER9xtqwdhxkhw/edit?usp=sharing"",""อ่างทอง!J162"")"),0)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IFERROR(__xludf.DUMMYFUNCTION("IMPORTRANGE(""https://docs.google.com/spreadsheets/d/1SX6NBoVAgQJ6U1MVXOaj8PK2l7WJ3RER9xtqwdhxkhw/edit?usp=sharing"",""อ่างทอง!J163"")"),0)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IFERROR(__xludf.DUMMYFUNCTION("IMPORTRANGE(""https://docs.google.com/spreadsheets/d/1SX6NBoVAgQJ6U1MVXOaj8PK2l7WJ3RER9xtqwdhxkhw/edit?usp=sharing"",""อ่างทอง!I164"")"),0)</f>
        <v>0</v>
      </c>
      <c r="J244" s="189">
        <f ca="1">IFERROR(__xludf.DUMMYFUNCTION("IMPORTRANGE(""https://docs.google.com/spreadsheets/d/1SX6NBoVAgQJ6U1MVXOaj8PK2l7WJ3RER9xtqwdhxkhw/edit?usp=sharing"",""อ่างทอง!J164"")"),0)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IFERROR(__xludf.DUMMYFUNCTION("IMPORTRANGE(""https://docs.google.com/spreadsheets/d/1SX6NBoVAgQJ6U1MVXOaj8PK2l7WJ3RER9xtqwdhxkhw/edit?usp=sharing"",""อ่างทอง!J165"")"),0)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IFERROR(__xludf.DUMMYFUNCTION("IMPORTRANGE(""https://docs.google.com/spreadsheets/d/1SX6NBoVAgQJ6U1MVXOaj8PK2l7WJ3RER9xtqwdhxkhw/edit?usp=sharing"",""อ่างทอง!I169"")"),0)</f>
        <v>0</v>
      </c>
      <c r="J249" s="316">
        <f ca="1">IFERROR(__xludf.DUMMYFUNCTION("IMPORTRANGE(""https://docs.google.com/spreadsheets/d/1SX6NBoVAgQJ6U1MVXOaj8PK2l7WJ3RER9xtqwdhxkhw/edit?usp=sharing"",""อ่างทอง!J169"")"),0)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IFERROR(__xludf.DUMMYFUNCTION("IMPORTRANGE(""https://docs.google.com/spreadsheets/d/1Yj_ptqi66GCucihVvJfMjLAmec39IyEx_6qawtMGysU/edit?usp=sharing"",""สบก!CB79"")"),0)</f>
        <v>0</v>
      </c>
      <c r="N254" s="170">
        <f ca="1">IFERROR(__xludf.DUMMYFUNCTION("IMPORTRANGE(""https://docs.google.com/spreadsheets/d/1Yj_ptqi66GCucihVvJfMjLAmec39IyEx_6qawtMGysU/edit?usp=sharing"",""สบก!CC79"")"),0)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IFERROR(__xludf.DUMMYFUNCTION("IMPORTRANGE(""https://docs.google.com/spreadsheets/d/1Yj_ptqi66GCucihVvJfMjLAmec39IyEx_6qawtMGysU/edit?usp=sharing"",""สบก!BX79"")"),0)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IFERROR(__xludf.DUMMYFUNCTION("IMPORTRANGE(""https://docs.google.com/spreadsheets/d/1Yj_ptqi66GCucihVvJfMjLAmec39IyEx_6qawtMGysU/edit?usp=sharing"",""สบก!BY79"")"),0)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IFERROR(__xludf.DUMMYFUNCTION("IMPORTRANGE(""https://docs.google.com/spreadsheets/d/1SX6NBoVAgQJ6U1MVXOaj8PK2l7WJ3RER9xtqwdhxkhw/edit?usp=sharing"",""อ่างทอง!J175"")"),0)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IFERROR(__xludf.DUMMYFUNCTION("IMPORTRANGE(""https://docs.google.com/spreadsheets/d/1SX6NBoVAgQJ6U1MVXOaj8PK2l7WJ3RER9xtqwdhxkhw/edit?usp=sharing"",""อ่างทอง!J176"")"),0)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IFERROR(__xludf.DUMMYFUNCTION("IMPORTRANGE(""https://docs.google.com/spreadsheets/d/1SX6NBoVAgQJ6U1MVXOaj8PK2l7WJ3RER9xtqwdhxkhw/edit?usp=sharing"",""อ่างทอง!J177"")"),0)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IFERROR(__xludf.DUMMYFUNCTION("IMPORTRANGE(""https://docs.google.com/spreadsheets/d/1SX6NBoVAgQJ6U1MVXOaj8PK2l7WJ3RER9xtqwdhxkhw/edit?usp=sharing"",""อ่างทอง!J178"")"),0)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IFERROR(__xludf.DUMMYFUNCTION("IMPORTRANGE(""https://docs.google.com/spreadsheets/d/1SX6NBoVAgQJ6U1MVXOaj8PK2l7WJ3RER9xtqwdhxkhw/edit?usp=sharing"",""อ่างทอง!I179"")"),0)</f>
        <v>0</v>
      </c>
      <c r="J264" s="190">
        <f ca="1">IFERROR(__xludf.DUMMYFUNCTION("IMPORTRANGE(""https://docs.google.com/spreadsheets/d/1SX6NBoVAgQJ6U1MVXOaj8PK2l7WJ3RER9xtqwdhxkhw/edit?usp=sharing"",""อ่างทอง!J179"")"),0)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IFERROR(__xludf.DUMMYFUNCTION("IMPORTRANGE(""https://docs.google.com/spreadsheets/d/1SX6NBoVAgQJ6U1MVXOaj8PK2l7WJ3RER9xtqwdhxkhw/edit?usp=sharing"",""อ่างทอง!I180"")"),0)</f>
        <v>0</v>
      </c>
      <c r="J265" s="190">
        <f ca="1">IFERROR(__xludf.DUMMYFUNCTION("IMPORTRANGE(""https://docs.google.com/spreadsheets/d/1SX6NBoVAgQJ6U1MVXOaj8PK2l7WJ3RER9xtqwdhxkhw/edit?usp=sharing"",""อ่างทอง!J180"")"),0)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IFERROR(__xludf.DUMMYFUNCTION("IMPORTRANGE(""https://docs.google.com/spreadsheets/d/1SX6NBoVAgQJ6U1MVXOaj8PK2l7WJ3RER9xtqwdhxkhw/edit?usp=sharing"",""อ่างทอง!I181"")"),0)</f>
        <v>0</v>
      </c>
      <c r="J266" s="190">
        <f ca="1">IFERROR(__xludf.DUMMYFUNCTION("IMPORTRANGE(""https://docs.google.com/spreadsheets/d/1SX6NBoVAgQJ6U1MVXOaj8PK2l7WJ3RER9xtqwdhxkhw/edit?usp=sharing"",""อ่างทอง!J181"")"),0)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IFERROR(__xludf.DUMMYFUNCTION("IMPORTRANGE(""https://docs.google.com/spreadsheets/d/1SX6NBoVAgQJ6U1MVXOaj8PK2l7WJ3RER9xtqwdhxkhw/edit?usp=sharing"",""อ่างทอง!I182"")"),0)</f>
        <v>0</v>
      </c>
      <c r="J267" s="190">
        <f ca="1">IFERROR(__xludf.DUMMYFUNCTION("IMPORTRANGE(""https://docs.google.com/spreadsheets/d/1SX6NBoVAgQJ6U1MVXOaj8PK2l7WJ3RER9xtqwdhxkhw/edit?usp=sharing"",""อ่างทอง!J182"")"),0)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IFERROR(__xludf.DUMMYFUNCTION("IMPORTRANGE(""https://docs.google.com/spreadsheets/d/1SX6NBoVAgQJ6U1MVXOaj8PK2l7WJ3RER9xtqwdhxkhw/edit?usp=sharing"",""อ่างทอง!J183"")"),0)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IFERROR(__xludf.DUMMYFUNCTION("IMPORTRANGE(""https://docs.google.com/spreadsheets/d/1SX6NBoVAgQJ6U1MVXOaj8PK2l7WJ3RER9xtqwdhxkhw/edit?usp=sharing"",""อ่างทอง!J184"")"),0)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IFERROR(__xludf.DUMMYFUNCTION("IMPORTRANGE(""https://docs.google.com/spreadsheets/d/1SX6NBoVAgQJ6U1MVXOaj8PK2l7WJ3RER9xtqwdhxkhw/edit?usp=sharing"",""อ่างทอง!I185"")"),0)</f>
        <v>0</v>
      </c>
      <c r="J270" s="316">
        <f ca="1">IFERROR(__xludf.DUMMYFUNCTION("IMPORTRANGE(""https://docs.google.com/spreadsheets/d/1SX6NBoVAgQJ6U1MVXOaj8PK2l7WJ3RER9xtqwdhxkhw/edit?usp=sharing"",""อ่างทอง!J185"")"),0)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IFERROR(__xludf.DUMMYFUNCTION("IMPORTRANGE(""https://docs.google.com/spreadsheets/d/1Yj_ptqi66GCucihVvJfMjLAmec39IyEx_6qawtMGysU/edit?usp=sharing"",""สบก!CK79"")"),0)</f>
        <v>0</v>
      </c>
      <c r="N275" s="170">
        <f ca="1">IFERROR(__xludf.DUMMYFUNCTION("IMPORTRANGE(""https://docs.google.com/spreadsheets/d/1Yj_ptqi66GCucihVvJfMjLAmec39IyEx_6qawtMGysU/edit?usp=sharing"",""สบก!CL79"")"),0)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IFERROR(__xludf.DUMMYFUNCTION("IMPORTRANGE(""https://docs.google.com/spreadsheets/d/1Yj_ptqi66GCucihVvJfMjLAmec39IyEx_6qawtMGysU/edit?usp=sharing"",""สบก!CG79"")"),0)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IFERROR(__xludf.DUMMYFUNCTION("IMPORTRANGE(""https://docs.google.com/spreadsheets/d/1Yj_ptqi66GCucihVvJfMjLAmec39IyEx_6qawtMGysU/edit?usp=sharing"",""สบก!CH79"")"),0)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IFERROR(__xludf.DUMMYFUNCTION("IMPORTRANGE(""https://docs.google.com/spreadsheets/d/1SX6NBoVAgQJ6U1MVXOaj8PK2l7WJ3RER9xtqwdhxkhw/edit?usp=sharing"",""อ่างทอง!J191"")"),0)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IFERROR(__xludf.DUMMYFUNCTION("IMPORTRANGE(""https://docs.google.com/spreadsheets/d/1SX6NBoVAgQJ6U1MVXOaj8PK2l7WJ3RER9xtqwdhxkhw/edit?usp=sharing"",""อ่างทอง!J192"")"),0)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IFERROR(__xludf.DUMMYFUNCTION("IMPORTRANGE(""https://docs.google.com/spreadsheets/d/1SX6NBoVAgQJ6U1MVXOaj8PK2l7WJ3RER9xtqwdhxkhw/edit?usp=sharing"",""อ่างทอง!J193"")"),0)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IFERROR(__xludf.DUMMYFUNCTION("IMPORTRANGE(""https://docs.google.com/spreadsheets/d/1SX6NBoVAgQJ6U1MVXOaj8PK2l7WJ3RER9xtqwdhxkhw/edit?usp=sharing"",""อ่างทอง!J194"")"),0)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IFERROR(__xludf.DUMMYFUNCTION("IMPORTRANGE(""https://docs.google.com/spreadsheets/d/1SX6NBoVAgQJ6U1MVXOaj8PK2l7WJ3RER9xtqwdhxkhw/edit?usp=sharing"",""อ่างทอง!I195"")"),0)</f>
        <v>0</v>
      </c>
      <c r="J285" s="190">
        <f ca="1">IFERROR(__xludf.DUMMYFUNCTION("IMPORTRANGE(""https://docs.google.com/spreadsheets/d/1SX6NBoVAgQJ6U1MVXOaj8PK2l7WJ3RER9xtqwdhxkhw/edit?usp=sharing"",""อ่างทอง!J195"")"),0)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IFERROR(__xludf.DUMMYFUNCTION("IMPORTRANGE(""https://docs.google.com/spreadsheets/d/1SX6NBoVAgQJ6U1MVXOaj8PK2l7WJ3RER9xtqwdhxkhw/edit?usp=sharing"",""อ่างทอง!J196"")"),0)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IFERROR(__xludf.DUMMYFUNCTION("IMPORTRANGE(""https://docs.google.com/spreadsheets/d/1SX6NBoVAgQJ6U1MVXOaj8PK2l7WJ3RER9xtqwdhxkhw/edit?usp=sharing"",""อ่างทอง!I199"")"),0)</f>
        <v>0</v>
      </c>
      <c r="J289" s="316">
        <f ca="1">IFERROR(__xludf.DUMMYFUNCTION("IMPORTRANGE(""https://docs.google.com/spreadsheets/d/1SX6NBoVAgQJ6U1MVXOaj8PK2l7WJ3RER9xtqwdhxkhw/edit?usp=sharing"",""อ่างทอง!J199"")"),0)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IFERROR(__xludf.DUMMYFUNCTION("IMPORTRANGE(""https://docs.google.com/spreadsheets/d/1Yj_ptqi66GCucihVvJfMjLAmec39IyEx_6qawtMGysU/edit?usp=sharing"",""สบก!CT79"")"),0)</f>
        <v>0</v>
      </c>
      <c r="N294" s="170">
        <f ca="1">IFERROR(__xludf.DUMMYFUNCTION("IMPORTRANGE(""https://docs.google.com/spreadsheets/d/1Yj_ptqi66GCucihVvJfMjLAmec39IyEx_6qawtMGysU/edit?usp=sharing"",""สบก!CU79"")"),0)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IFERROR(__xludf.DUMMYFUNCTION("IMPORTRANGE(""https://docs.google.com/spreadsheets/d/1Yj_ptqi66GCucihVvJfMjLAmec39IyEx_6qawtMGysU/edit?usp=sharing"",""สบก!CP79"")"),0)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IFERROR(__xludf.DUMMYFUNCTION("IMPORTRANGE(""https://docs.google.com/spreadsheets/d/1Yj_ptqi66GCucihVvJfMjLAmec39IyEx_6qawtMGysU/edit?usp=sharing"",""สบก!CQ79"")"),0)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IFERROR(__xludf.DUMMYFUNCTION("IMPORTRANGE(""https://docs.google.com/spreadsheets/d/1SX6NBoVAgQJ6U1MVXOaj8PK2l7WJ3RER9xtqwdhxkhw/edit?usp=sharing"",""อ่างทอง!I209"")"),0)</f>
        <v>0</v>
      </c>
      <c r="J304" s="205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IFERROR(__xludf.DUMMYFUNCTION("IMPORTRANGE(""https://docs.google.com/spreadsheets/d/1SX6NBoVAgQJ6U1MVXOaj8PK2l7WJ3RER9xtqwdhxkhw/edit?usp=sharing"",""อ่างทอง!I211"")"),0)</f>
        <v>0</v>
      </c>
      <c r="J306" s="205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IFERROR(__xludf.DUMMYFUNCTION("IMPORTRANGE(""https://docs.google.com/spreadsheets/d/1SX6NBoVAgQJ6U1MVXOaj8PK2l7WJ3RER9xtqwdhxkhw/edit?usp=sharing"",""อ่างทอง!I214"")"),0)</f>
        <v>0</v>
      </c>
      <c r="J309" s="333">
        <f ca="1">IFERROR(__xludf.DUMMYFUNCTION("IMPORTRANGE(""https://docs.google.com/spreadsheets/d/1SX6NBoVAgQJ6U1MVXOaj8PK2l7WJ3RER9xtqwdhxkhw/edit?usp=sharing"",""อ่างทอง!J214"")"),0)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IFERROR(__xludf.DUMMYFUNCTION("IMPORTRANGE(""https://docs.google.com/spreadsheets/d/1Yj_ptqi66GCucihVvJfMjLAmec39IyEx_6qawtMGysU/edit?usp=sharing"",""สบก!DC79"")"),0)</f>
        <v>0</v>
      </c>
      <c r="N314" s="170">
        <f ca="1">IFERROR(__xludf.DUMMYFUNCTION("IMPORTRANGE(""https://docs.google.com/spreadsheets/d/1Yj_ptqi66GCucihVvJfMjLAmec39IyEx_6qawtMGysU/edit?usp=sharing"",""สบก!DD79"")"),0)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IFERROR(__xludf.DUMMYFUNCTION("IMPORTRANGE(""https://docs.google.com/spreadsheets/d/1Yj_ptqi66GCucihVvJfMjLAmec39IyEx_6qawtMGysU/edit?usp=sharing"",""สบก!CY79"")"),0)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IFERROR(__xludf.DUMMYFUNCTION("IMPORTRANGE(""https://docs.google.com/spreadsheets/d/1Yj_ptqi66GCucihVvJfMjLAmec39IyEx_6qawtMGysU/edit?usp=sharing"",""สบก!CZ79"")"),0)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IFERROR(__xludf.DUMMYFUNCTION("IMPORTRANGE(""https://docs.google.com/spreadsheets/d/1SX6NBoVAgQJ6U1MVXOaj8PK2l7WJ3RER9xtqwdhxkhw/edit?usp=sharing"",""อ่างทอง!I224"")"),0)</f>
        <v>0</v>
      </c>
      <c r="J324" s="205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IFERROR(__xludf.DUMMYFUNCTION("IMPORTRANGE(""https://docs.google.com/spreadsheets/d/1SX6NBoVAgQJ6U1MVXOaj8PK2l7WJ3RER9xtqwdhxkhw/edit?usp=sharing"",""อ่างทอง!I228"")"),0)</f>
        <v>0</v>
      </c>
      <c r="J328" s="339">
        <f ca="1">IFERROR(__xludf.DUMMYFUNCTION("IMPORTRANGE(""https://docs.google.com/spreadsheets/d/1SX6NBoVAgQJ6U1MVXOaj8PK2l7WJ3RER9xtqwdhxkhw/edit?usp=sharing"",""อ่างทอง!J228"")"),0)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680910</v>
      </c>
      <c r="M329" s="152">
        <f t="shared" ca="1" si="98"/>
        <v>409960</v>
      </c>
      <c r="N329" s="152">
        <f t="shared" ca="1" si="98"/>
        <v>348525</v>
      </c>
      <c r="O329" s="151">
        <f t="shared" ref="O329:O331" ca="1" si="99">IF(L329&gt;0,N329*100/L329,0)</f>
        <v>51.185178657972422</v>
      </c>
      <c r="P329" s="151">
        <f t="shared" ref="P329:P331" ca="1" si="100">IF(M329&gt;0,N329*100/M329,0)</f>
        <v>85.014391647965653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680910</v>
      </c>
      <c r="M331" s="157">
        <f t="shared" ca="1" si="102"/>
        <v>409960</v>
      </c>
      <c r="N331" s="157">
        <f t="shared" ca="1" si="102"/>
        <v>348525</v>
      </c>
      <c r="O331" s="156">
        <f t="shared" ca="1" si="99"/>
        <v>51.185178657972422</v>
      </c>
      <c r="P331" s="156">
        <f t="shared" ca="1" si="100"/>
        <v>85.014391647965653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541910</v>
      </c>
      <c r="M333" s="169">
        <f ca="1">IFERROR(__xludf.DUMMYFUNCTION("IMPORTRANGE(""https://docs.google.com/spreadsheets/d/1Yj_ptqi66GCucihVvJfMjLAmec39IyEx_6qawtMGysU/edit?usp=sharing"",""สบก!DL79"")"),270960)</f>
        <v>270960</v>
      </c>
      <c r="N333" s="170">
        <f ca="1">IFERROR(__xludf.DUMMYFUNCTION("IMPORTRANGE(""https://docs.google.com/spreadsheets/d/1Yj_ptqi66GCucihVvJfMjLAmec39IyEx_6qawtMGysU/edit?usp=sharing"",""สบก!DM79"")"),209525)</f>
        <v>209525</v>
      </c>
      <c r="O333" s="170">
        <f ca="1">IF(L333&gt;0,N333*100/L333,0)</f>
        <v>38.664169327010022</v>
      </c>
      <c r="P333" s="170">
        <f ca="1">IF(M333&gt;0,N333*100/M333,0)</f>
        <v>77.326911721287274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IFERROR(__xludf.DUMMYFUNCTION("IMPORTRANGE(""https://docs.google.com/spreadsheets/d/1Yj_ptqi66GCucihVvJfMjLAmec39IyEx_6qawtMGysU/edit?usp=sharing"",""สบก!DH79"")"),493800)</f>
        <v>493800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IFERROR(__xludf.DUMMYFUNCTION("IMPORTRANGE(""https://docs.google.com/spreadsheets/d/1Yj_ptqi66GCucihVvJfMjLAmec39IyEx_6qawtMGysU/edit?usp=sharing"",""สบก!DI79"")"),48110)</f>
        <v>48110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IFERROR(__xludf.DUMMYFUNCTION("IMPORTRANGE(""https://docs.google.com/spreadsheets/d/1Yj_ptqi66GCucihVvJfMjLAmec39IyEx_6qawtMGysU/edit?usp=sharing"",""สบก!DJ79"")"),139000)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100</v>
      </c>
      <c r="P337" s="170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IFERROR(__xludf.DUMMYFUNCTION("IMPORTRANGE(""https://docs.google.com/spreadsheets/d/1SX6NBoVAgQJ6U1MVXOaj8PK2l7WJ3RER9xtqwdhxkhw/edit?usp=sharing"",""อ่างทอง!I234"")"),0)</f>
        <v>0</v>
      </c>
      <c r="J339" s="189">
        <f ca="1">IFERROR(__xludf.DUMMYFUNCTION("IMPORTRANGE(""https://docs.google.com/spreadsheets/d/1SX6NBoVAgQJ6U1MVXOaj8PK2l7WJ3RER9xtqwdhxkhw/edit?usp=sharing"",""อ่างทอง!J234"")"),0)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IFERROR(__xludf.DUMMYFUNCTION("IMPORTRANGE(""https://docs.google.com/spreadsheets/d/1SX6NBoVAgQJ6U1MVXOaj8PK2l7WJ3RER9xtqwdhxkhw/edit?usp=sharing"",""อ่างทอง!I235"")"),0)</f>
        <v>0</v>
      </c>
      <c r="J340" s="189">
        <f ca="1">IFERROR(__xludf.DUMMYFUNCTION("IMPORTRANGE(""https://docs.google.com/spreadsheets/d/1SX6NBoVAgQJ6U1MVXOaj8PK2l7WJ3RER9xtqwdhxkhw/edit?usp=sharing"",""อ่างทอง!J235"")"),0)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IFERROR(__xludf.DUMMYFUNCTION("IMPORTRANGE(""https://docs.google.com/spreadsheets/d/1SX6NBoVAgQJ6U1MVXOaj8PK2l7WJ3RER9xtqwdhxkhw/edit?usp=sharing"",""อ่างทอง!I236"")"),0)</f>
        <v>0</v>
      </c>
      <c r="J341" s="189">
        <f ca="1">IFERROR(__xludf.DUMMYFUNCTION("IMPORTRANGE(""https://docs.google.com/spreadsheets/d/1SX6NBoVAgQJ6U1MVXOaj8PK2l7WJ3RER9xtqwdhxkhw/edit?usp=sharing"",""อ่างทอง!J236"")"),0)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9">
        <f ca="1">IFERROR(__xludf.DUMMYFUNCTION("IMPORTRANGE(""https://docs.google.com/spreadsheets/d/1SX6NBoVAgQJ6U1MVXOaj8PK2l7WJ3RER9xtqwdhxkhw/edit?usp=sharing"",""อ่างทอง!J237"")"),0)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IFERROR(__xludf.DUMMYFUNCTION("IMPORTRANGE(""https://docs.google.com/spreadsheets/d/1SX6NBoVAgQJ6U1MVXOaj8PK2l7WJ3RER9xtqwdhxkhw/edit?usp=sharing"",""อ่างทอง!I238"")"),0)</f>
        <v>0</v>
      </c>
      <c r="J343" s="189">
        <f ca="1">IFERROR(__xludf.DUMMYFUNCTION("IMPORTRANGE(""https://docs.google.com/spreadsheets/d/1SX6NBoVAgQJ6U1MVXOaj8PK2l7WJ3RER9xtqwdhxkhw/edit?usp=sharing"",""อ่างทอง!J238"")"),0)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9">
        <f ca="1">IFERROR(__xludf.DUMMYFUNCTION("IMPORTRANGE(""https://docs.google.com/spreadsheets/d/1SX6NBoVAgQJ6U1MVXOaj8PK2l7WJ3RER9xtqwdhxkhw/edit?usp=sharing"",""อ่างทอง!J239"")"),0)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IFERROR(__xludf.DUMMYFUNCTION("IMPORTRANGE(""https://docs.google.com/spreadsheets/d/1SX6NBoVAgQJ6U1MVXOaj8PK2l7WJ3RER9xtqwdhxkhw/edit?usp=sharing"",""อ่างทอง!I240"")"),0)</f>
        <v>0</v>
      </c>
      <c r="J345" s="189">
        <f ca="1">IFERROR(__xludf.DUMMYFUNCTION("IMPORTRANGE(""https://docs.google.com/spreadsheets/d/1SX6NBoVAgQJ6U1MVXOaj8PK2l7WJ3RER9xtqwdhxkhw/edit?usp=sharing"",""อ่างทอง!J240"")"),0)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9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IFERROR(__xludf.DUMMYFUNCTION("IMPORTRANGE(""https://docs.google.com/spreadsheets/d/1SX6NBoVAgQJ6U1MVXOaj8PK2l7WJ3RER9xtqwdhxkhw/edit?usp=sharing"",""อ่างทอง!L242"")"),329940)</f>
        <v>329940</v>
      </c>
      <c r="M347" s="358"/>
      <c r="N347" s="358">
        <f ca="1">IFERROR(__xludf.DUMMYFUNCTION("IMPORTRANGE(""https://docs.google.com/spreadsheets/d/1SX6NBoVAgQJ6U1MVXOaj8PK2l7WJ3RER9xtqwdhxkhw/edit?usp=sharing"",""อ่างทอง!M242"")"),64855)</f>
        <v>64855</v>
      </c>
      <c r="O347" s="358">
        <f ca="1">+IF(L347&gt;0,N347*100/L347,0)</f>
        <v>19.656604231072315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IFERROR(__xludf.DUMMYFUNCTION("IMPORTRANGE(""https://docs.google.com/spreadsheets/d/1SX6NBoVAgQJ6U1MVXOaj8PK2l7WJ3RER9xtqwdhxkhw/edit?usp=sharing"",""อ่างทอง!M244"")"),6330)</f>
        <v>6330</v>
      </c>
      <c r="O349" s="373">
        <f ca="1">+IF(L349&gt;0,N349*100/L349,0)</f>
        <v>9.0791738382099823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IFERROR(__xludf.DUMMYFUNCTION("IMPORTRANGE(""https://docs.google.com/spreadsheets/d/1SX6NBoVAgQJ6U1MVXOaj8PK2l7WJ3RER9xtqwdhxkhw/edit?usp=sharing"",""อ่างทอง!L246"")"),0)</f>
        <v>0</v>
      </c>
      <c r="M351" s="166"/>
      <c r="N351" s="166">
        <f ca="1">IFERROR(__xludf.DUMMYFUNCTION("IMPORTRANGE(""https://docs.google.com/spreadsheets/d/1SX6NBoVAgQJ6U1MVXOaj8PK2l7WJ3RER9xtqwdhxkhw/edit?usp=sharing"",""อ่างทอง!M246"")"),0)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IFERROR(__xludf.DUMMYFUNCTION("IMPORTRANGE(""https://docs.google.com/spreadsheets/d/1SX6NBoVAgQJ6U1MVXOaj8PK2l7WJ3RER9xtqwdhxkhw/edit?usp=sharing"",""อ่างทอง!L247"")"),69720)</f>
        <v>69720</v>
      </c>
      <c r="M352" s="167"/>
      <c r="N352" s="166">
        <f ca="1">IFERROR(__xludf.DUMMYFUNCTION("IMPORTRANGE(""https://docs.google.com/spreadsheets/d/1SX6NBoVAgQJ6U1MVXOaj8PK2l7WJ3RER9xtqwdhxkhw/edit?usp=sharing"",""อ่างทอง!M247"")"),6330)</f>
        <v>6330</v>
      </c>
      <c r="O352" s="167">
        <f t="shared" ca="1" si="105"/>
        <v>9.0791738382099823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IFERROR(__xludf.DUMMYFUNCTION("IMPORTRANGE(""https://docs.google.com/spreadsheets/d/1SX6NBoVAgQJ6U1MVXOaj8PK2l7WJ3RER9xtqwdhxkhw/edit?usp=sharing"",""อ่างทอง!L248"")"),0)</f>
        <v>0</v>
      </c>
      <c r="M353" s="170"/>
      <c r="N353" s="170">
        <f ca="1">IFERROR(__xludf.DUMMYFUNCTION("IMPORTRANGE(""https://docs.google.com/spreadsheets/d/1SX6NBoVAgQJ6U1MVXOaj8PK2l7WJ3RER9xtqwdhxkhw/edit?usp=sharing"",""อ่างทอง!M248"")"),0)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IFERROR(__xludf.DUMMYFUNCTION("IMPORTRANGE(""https://docs.google.com/spreadsheets/d/1SX6NBoVAgQJ6U1MVXOaj8PK2l7WJ3RER9xtqwdhxkhw/edit?usp=sharing"",""อ่างทอง!L249"")"),69720)</f>
        <v>69720</v>
      </c>
      <c r="M354" s="170"/>
      <c r="N354" s="169">
        <f ca="1">IFERROR(__xludf.DUMMYFUNCTION("IMPORTRANGE(""https://docs.google.com/spreadsheets/d/1SX6NBoVAgQJ6U1MVXOaj8PK2l7WJ3RER9xtqwdhxkhw/edit?usp=sharing"",""อ่างทอง!M249"")"),6330)</f>
        <v>6330</v>
      </c>
      <c r="O354" s="170">
        <f t="shared" ca="1" si="105"/>
        <v>9.0791738382099823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IFERROR(__xludf.DUMMYFUNCTION("IMPORTRANGE(""https://docs.google.com/spreadsheets/d/1SX6NBoVAgQJ6U1MVXOaj8PK2l7WJ3RER9xtqwdhxkhw/edit?usp=sharing"",""อ่างทอง!M250"")"),6330)</f>
        <v>6330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IFERROR(__xludf.DUMMYFUNCTION("IMPORTRANGE(""https://docs.google.com/spreadsheets/d/1SX6NBoVAgQJ6U1MVXOaj8PK2l7WJ3RER9xtqwdhxkhw/edit?usp=sharing"",""อ่างทอง!M251"")"),0)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IFERROR(__xludf.DUMMYFUNCTION("IMPORTRANGE(""https://docs.google.com/spreadsheets/d/1SX6NBoVAgQJ6U1MVXOaj8PK2l7WJ3RER9xtqwdhxkhw/edit?usp=sharing"",""อ่างทอง!J255"")"),0)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IFERROR(__xludf.DUMMYFUNCTION("IMPORTRANGE(""https://docs.google.com/spreadsheets/d/1SX6NBoVAgQJ6U1MVXOaj8PK2l7WJ3RER9xtqwdhxkhw/edit?usp=sharing"",""อ่างทอง!J256"")"),1)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IFERROR(__xludf.DUMMYFUNCTION("IMPORTRANGE(""https://docs.google.com/spreadsheets/d/1SX6NBoVAgQJ6U1MVXOaj8PK2l7WJ3RER9xtqwdhxkhw/edit?usp=sharing"",""อ่างทอง!J257"")"),1)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IFERROR(__xludf.DUMMYFUNCTION("IMPORTRANGE(""https://docs.google.com/spreadsheets/d/1SX6NBoVAgQJ6U1MVXOaj8PK2l7WJ3RER9xtqwdhxkhw/edit?usp=sharing"",""อ่างทอง!J258"")"),1)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IFERROR(__xludf.DUMMYFUNCTION("IMPORTRANGE(""https://docs.google.com/spreadsheets/d/1SX6NBoVAgQJ6U1MVXOaj8PK2l7WJ3RER9xtqwdhxkhw/edit?usp=sharing"",""อ่างทอง!J166"")"),0)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IFERROR(__xludf.DUMMYFUNCTION("IMPORTRANGE(""https://docs.google.com/spreadsheets/d/1SX6NBoVAgQJ6U1MVXOaj8PK2l7WJ3RER9xtqwdhxkhw/edit?usp=sharing"",""อ่างทอง!J166"")"),0)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IFERROR(__xludf.DUMMYFUNCTION("IMPORTRANGE(""https://docs.google.com/spreadsheets/d/1SX6NBoVAgQJ6U1MVXOaj8PK2l7WJ3RER9xtqwdhxkhw/edit?usp=sharing"",""อ่างทอง!J166"")"),0)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IFERROR(__xludf.DUMMYFUNCTION("IMPORTRANGE(""https://docs.google.com/spreadsheets/d/1SX6NBoVAgQJ6U1MVXOaj8PK2l7WJ3RER9xtqwdhxkhw/edit?usp=sharing"",""อ่างทอง!J166"")"),0)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IFERROR(__xludf.DUMMYFUNCTION("IMPORTRANGE(""https://docs.google.com/spreadsheets/d/1SX6NBoVAgQJ6U1MVXOaj8PK2l7WJ3RER9xtqwdhxkhw/edit?usp=sharing"",""อ่างทอง!I263"")"),10)</f>
        <v>10</v>
      </c>
      <c r="J368" s="189">
        <f ca="1">IFERROR(__xludf.DUMMYFUNCTION("IMPORTRANGE(""https://docs.google.com/spreadsheets/d/1SX6NBoVAgQJ6U1MVXOaj8PK2l7WJ3RER9xtqwdhxkhw/edit?usp=sharing"",""อ่างทอง!J263"")"),0)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IFERROR(__xludf.DUMMYFUNCTION("IMPORTRANGE(""https://docs.google.com/spreadsheets/d/1SX6NBoVAgQJ6U1MVXOaj8PK2l7WJ3RER9xtqwdhxkhw/edit?usp=sharing"",""อ่างทอง!I164"")"),0)</f>
        <v>0</v>
      </c>
      <c r="J369" s="205">
        <f ca="1">IFERROR(__xludf.DUMMYFUNCTION("IMPORTRANGE(""https://docs.google.com/spreadsheets/d/1SX6NBoVAgQJ6U1MVXOaj8PK2l7WJ3RER9xtqwdhxkhw/edit?usp=sharing"",""อ่างทอง!J164"")"),0)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IFERROR(__xludf.DUMMYFUNCTION("IMPORTRANGE(""https://docs.google.com/spreadsheets/d/1SX6NBoVAgQJ6U1MVXOaj8PK2l7WJ3RER9xtqwdhxkhw/edit?usp=sharing"",""อ่างทอง!I265"")"),10)</f>
        <v>10</v>
      </c>
      <c r="J370" s="205">
        <f ca="1">IFERROR(__xludf.DUMMYFUNCTION("IMPORTRANGE(""https://docs.google.com/spreadsheets/d/1SX6NBoVAgQJ6U1MVXOaj8PK2l7WJ3RER9xtqwdhxkhw/edit?usp=sharing"",""อ่างทอง!J265"")"),10)</f>
        <v>10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IFERROR(__xludf.DUMMYFUNCTION("IMPORTRANGE(""https://docs.google.com/spreadsheets/d/1SX6NBoVAgQJ6U1MVXOaj8PK2l7WJ3RER9xtqwdhxkhw/edit?usp=sharing"",""อ่างทอง!I164"")"),0)</f>
        <v>0</v>
      </c>
      <c r="J371" s="190">
        <f ca="1">IFERROR(__xludf.DUMMYFUNCTION("IMPORTRANGE(""https://docs.google.com/spreadsheets/d/1SX6NBoVAgQJ6U1MVXOaj8PK2l7WJ3RER9xtqwdhxkhw/edit?usp=sharing"",""อ่างทอง!J164"")"),0)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IFERROR(__xludf.DUMMYFUNCTION("IMPORTRANGE(""https://docs.google.com/spreadsheets/d/1SX6NBoVAgQJ6U1MVXOaj8PK2l7WJ3RER9xtqwdhxkhw/edit?usp=sharing"",""อ่างทอง!I267"")"),10)</f>
        <v>10</v>
      </c>
      <c r="J372" s="190">
        <f ca="1">IFERROR(__xludf.DUMMYFUNCTION("IMPORTRANGE(""https://docs.google.com/spreadsheets/d/1SX6NBoVAgQJ6U1MVXOaj8PK2l7WJ3RER9xtqwdhxkhw/edit?usp=sharing"",""อ่างทอง!J267"")"),0)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IFERROR(__xludf.DUMMYFUNCTION("IMPORTRANGE(""https://docs.google.com/spreadsheets/d/1SX6NBoVAgQJ6U1MVXOaj8PK2l7WJ3RER9xtqwdhxkhw/edit?usp=sharing"",""อ่างทอง!I164"")"),0)</f>
        <v>0</v>
      </c>
      <c r="J373" s="205">
        <f ca="1">IFERROR(__xludf.DUMMYFUNCTION("IMPORTRANGE(""https://docs.google.com/spreadsheets/d/1SX6NBoVAgQJ6U1MVXOaj8PK2l7WJ3RER9xtqwdhxkhw/edit?usp=sharing"",""อ่างทอง!J164"")"),0)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IFERROR(__xludf.DUMMYFUNCTION("IMPORTRANGE(""https://docs.google.com/spreadsheets/d/1SX6NBoVAgQJ6U1MVXOaj8PK2l7WJ3RER9xtqwdhxkhw/edit?usp=sharing"",""อ่างทอง!I164"")"),0)</f>
        <v>0</v>
      </c>
      <c r="J374" s="189">
        <f ca="1">IFERROR(__xludf.DUMMYFUNCTION("IMPORTRANGE(""https://docs.google.com/spreadsheets/d/1SX6NBoVAgQJ6U1MVXOaj8PK2l7WJ3RER9xtqwdhxkhw/edit?usp=sharing"",""อ่างทอง!J164"")"),0)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IFERROR(__xludf.DUMMYFUNCTION("IMPORTRANGE(""https://docs.google.com/spreadsheets/d/1SX6NBoVAgQJ6U1MVXOaj8PK2l7WJ3RER9xtqwdhxkhw/edit?usp=sharing"",""อ่างทอง!I270"")"),30)</f>
        <v>30</v>
      </c>
      <c r="J375" s="189">
        <f ca="1">IFERROR(__xludf.DUMMYFUNCTION("IMPORTRANGE(""https://docs.google.com/spreadsheets/d/1SX6NBoVAgQJ6U1MVXOaj8PK2l7WJ3RER9xtqwdhxkhw/edit?usp=sharing"",""อ่างทอง!J270"")"),0)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IFERROR(__xludf.DUMMYFUNCTION("IMPORTRANGE(""https://docs.google.com/spreadsheets/d/1SX6NBoVAgQJ6U1MVXOaj8PK2l7WJ3RER9xtqwdhxkhw/edit?usp=sharing"",""อ่างทอง!I271"")"),30)</f>
        <v>30</v>
      </c>
      <c r="J376" s="190">
        <f ca="1">IFERROR(__xludf.DUMMYFUNCTION("IMPORTRANGE(""https://docs.google.com/spreadsheets/d/1SX6NBoVAgQJ6U1MVXOaj8PK2l7WJ3RER9xtqwdhxkhw/edit?usp=sharing"",""อ่างทอง!J271"")"),0)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IFERROR(__xludf.DUMMYFUNCTION("IMPORTRANGE(""https://docs.google.com/spreadsheets/d/1SX6NBoVAgQJ6U1MVXOaj8PK2l7WJ3RER9xtqwdhxkhw/edit?usp=sharing"",""อ่างทอง!I272"")"),0)</f>
        <v>0</v>
      </c>
      <c r="J377" s="205">
        <f ca="1">IFERROR(__xludf.DUMMYFUNCTION("IMPORTRANGE(""https://docs.google.com/spreadsheets/d/1SX6NBoVAgQJ6U1MVXOaj8PK2l7WJ3RER9xtqwdhxkhw/edit?usp=sharing"",""อ่างทอง!J272"")"),0)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IFERROR(__xludf.DUMMYFUNCTION("IMPORTRANGE(""https://docs.google.com/spreadsheets/d/1SX6NBoVAgQJ6U1MVXOaj8PK2l7WJ3RER9xtqwdhxkhw/edit?usp=sharing"",""อ่างทอง!J273"")"),0)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IFERROR(__xludf.DUMMYFUNCTION("IMPORTRANGE(""https://docs.google.com/spreadsheets/d/1SX6NBoVAgQJ6U1MVXOaj8PK2l7WJ3RER9xtqwdhxkhw/edit?usp=sharing"",""อ่างทอง!J274"")"),0)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IFERROR(__xludf.DUMMYFUNCTION("IMPORTRANGE(""https://docs.google.com/spreadsheets/d/1SX6NBoVAgQJ6U1MVXOaj8PK2l7WJ3RER9xtqwdhxkhw/edit?usp=sharing"",""อ่างทอง!L277"")"),0)</f>
        <v>0</v>
      </c>
      <c r="M382" s="166"/>
      <c r="N382" s="166">
        <f ca="1">IFERROR(__xludf.DUMMYFUNCTION("IMPORTRANGE(""https://docs.google.com/spreadsheets/d/1SX6NBoVAgQJ6U1MVXOaj8PK2l7WJ3RER9xtqwdhxkhw/edit?usp=sharing"",""อ่างทอง!M277"")"),0)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IFERROR(__xludf.DUMMYFUNCTION("IMPORTRANGE(""https://docs.google.com/spreadsheets/d/1SX6NBoVAgQJ6U1MVXOaj8PK2l7WJ3RER9xtqwdhxkhw/edit?usp=sharing"",""อ่างทอง!L278"")"),0)</f>
        <v>0</v>
      </c>
      <c r="M383" s="167"/>
      <c r="N383" s="167">
        <f ca="1">IFERROR(__xludf.DUMMYFUNCTION("IMPORTRANGE(""https://docs.google.com/spreadsheets/d/1SX6NBoVAgQJ6U1MVXOaj8PK2l7WJ3RER9xtqwdhxkhw/edit?usp=sharing"",""อ่างทอง!M278"")"),0)</f>
        <v>0</v>
      </c>
      <c r="O383" s="167">
        <f t="shared" ca="1" si="109"/>
        <v>0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IFERROR(__xludf.DUMMYFUNCTION("IMPORTRANGE(""https://docs.google.com/spreadsheets/d/1SX6NBoVAgQJ6U1MVXOaj8PK2l7WJ3RER9xtqwdhxkhw/edit?usp=sharing"",""อ่างทอง!L279"")"),0)</f>
        <v>0</v>
      </c>
      <c r="M384" s="170"/>
      <c r="N384" s="170">
        <f ca="1">IFERROR(__xludf.DUMMYFUNCTION("IMPORTRANGE(""https://docs.google.com/spreadsheets/d/1SX6NBoVAgQJ6U1MVXOaj8PK2l7WJ3RER9xtqwdhxkhw/edit?usp=sharing"",""อ่างทอง!M279"")"),0)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IFERROR(__xludf.DUMMYFUNCTION("IMPORTRANGE(""https://docs.google.com/spreadsheets/d/1SX6NBoVAgQJ6U1MVXOaj8PK2l7WJ3RER9xtqwdhxkhw/edit?usp=sharing"",""อ่างทอง!L280"")"),0)</f>
        <v>0</v>
      </c>
      <c r="M385" s="170"/>
      <c r="N385" s="169">
        <f ca="1">IFERROR(__xludf.DUMMYFUNCTION("IMPORTRANGE(""https://docs.google.com/spreadsheets/d/1SX6NBoVAgQJ6U1MVXOaj8PK2l7WJ3RER9xtqwdhxkhw/edit?usp=sharing"",""อ่างทอง!M280"")"),0)</f>
        <v>0</v>
      </c>
      <c r="O385" s="170">
        <f t="shared" ca="1" si="109"/>
        <v>0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IFERROR(__xludf.DUMMYFUNCTION("IMPORTRANGE(""https://docs.google.com/spreadsheets/d/1SX6NBoVAgQJ6U1MVXOaj8PK2l7WJ3RER9xtqwdhxkhw/edit?usp=sharing"",""อ่างทอง!J286"")"),0)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IFERROR(__xludf.DUMMYFUNCTION("IMPORTRANGE(""https://docs.google.com/spreadsheets/d/1SX6NBoVAgQJ6U1MVXOaj8PK2l7WJ3RER9xtqwdhxkhw/edit?usp=sharing"",""อ่างทอง!J287"")"),0)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IFERROR(__xludf.DUMMYFUNCTION("IMPORTRANGE(""https://docs.google.com/spreadsheets/d/1SX6NBoVAgQJ6U1MVXOaj8PK2l7WJ3RER9xtqwdhxkhw/edit?usp=sharing"",""อ่างทอง!J288"")"),0)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IFERROR(__xludf.DUMMYFUNCTION("IMPORTRANGE(""https://docs.google.com/spreadsheets/d/1SX6NBoVAgQJ6U1MVXOaj8PK2l7WJ3RER9xtqwdhxkhw/edit?usp=sharing"",""อ่างทอง!J289"")"),0)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IFERROR(__xludf.DUMMYFUNCTION("IMPORTRANGE(""https://docs.google.com/spreadsheets/d/1SX6NBoVAgQJ6U1MVXOaj8PK2l7WJ3RER9xtqwdhxkhw/edit?usp=sharing"",""อ่างทอง!I291"")"),0)</f>
        <v>0</v>
      </c>
      <c r="J396" s="199">
        <f ca="1">IFERROR(__xludf.DUMMYFUNCTION("IMPORTRANGE(""https://docs.google.com/spreadsheets/d/1SX6NBoVAgQJ6U1MVXOaj8PK2l7WJ3RER9xtqwdhxkhw/edit?usp=sharing"",""อ่างทอง!J291"")"),0)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IFERROR(__xludf.DUMMYFUNCTION("IMPORTRANGE(""https://docs.google.com/spreadsheets/d/1SX6NBoVAgQJ6U1MVXOaj8PK2l7WJ3RER9xtqwdhxkhw/edit?usp=sharing"",""อ่างทอง!I292"")"),0)</f>
        <v>0</v>
      </c>
      <c r="J397" s="199">
        <f ca="1">IFERROR(__xludf.DUMMYFUNCTION("IMPORTRANGE(""https://docs.google.com/spreadsheets/d/1SX6NBoVAgQJ6U1MVXOaj8PK2l7WJ3RER9xtqwdhxkhw/edit?usp=sharing"",""อ่างทอง!J292"")"),0)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IFERROR(__xludf.DUMMYFUNCTION("IMPORTRANGE(""https://docs.google.com/spreadsheets/d/1SX6NBoVAgQJ6U1MVXOaj8PK2l7WJ3RER9xtqwdhxkhw/edit?usp=sharing"",""อ่างทอง!I293"")"),0)</f>
        <v>0</v>
      </c>
      <c r="J398" s="199">
        <f ca="1">IFERROR(__xludf.DUMMYFUNCTION("IMPORTRANGE(""https://docs.google.com/spreadsheets/d/1SX6NBoVAgQJ6U1MVXOaj8PK2l7WJ3RER9xtqwdhxkhw/edit?usp=sharing"",""อ่างทอง!J293"")"),0)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IFERROR(__xludf.DUMMYFUNCTION("IMPORTRANGE(""https://docs.google.com/spreadsheets/d/1SX6NBoVAgQJ6U1MVXOaj8PK2l7WJ3RER9xtqwdhxkhw/edit?usp=sharing"",""อ่างทอง!J294"")"),0)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IFERROR(__xludf.DUMMYFUNCTION("IMPORTRANGE(""https://docs.google.com/spreadsheets/d/1SX6NBoVAgQJ6U1MVXOaj8PK2l7WJ3RER9xtqwdhxkhw/edit?usp=sharing"",""อ่างทอง!M296"")"),10931)</f>
        <v>10931</v>
      </c>
      <c r="O401" s="373">
        <f ca="1">+IF(L401&gt;0,N401*100/L401,0)</f>
        <v>34.767811704834607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IFERROR(__xludf.DUMMYFUNCTION("IMPORTRANGE(""https://docs.google.com/spreadsheets/d/1SX6NBoVAgQJ6U1MVXOaj8PK2l7WJ3RER9xtqwdhxkhw/edit?usp=sharing"",""อ่างทอง!L298"")"),0)</f>
        <v>0</v>
      </c>
      <c r="M403" s="166"/>
      <c r="N403" s="170">
        <f ca="1">IFERROR(__xludf.DUMMYFUNCTION("IMPORTRANGE(""https://docs.google.com/spreadsheets/d/1SX6NBoVAgQJ6U1MVXOaj8PK2l7WJ3RER9xtqwdhxkhw/edit?usp=sharing"",""อ่างทอง!M298"")"),0)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IFERROR(__xludf.DUMMYFUNCTION("IMPORTRANGE(""https://docs.google.com/spreadsheets/d/1SX6NBoVAgQJ6U1MVXOaj8PK2l7WJ3RER9xtqwdhxkhw/edit?usp=sharing"",""อ่างทอง!L299"")"),31440)</f>
        <v>31440</v>
      </c>
      <c r="M404" s="167"/>
      <c r="N404" s="170">
        <f ca="1">IFERROR(__xludf.DUMMYFUNCTION("IMPORTRANGE(""https://docs.google.com/spreadsheets/d/1SX6NBoVAgQJ6U1MVXOaj8PK2l7WJ3RER9xtqwdhxkhw/edit?usp=sharing"",""อ่างทอง!M299"")"),10931)</f>
        <v>10931</v>
      </c>
      <c r="O404" s="170">
        <f t="shared" ca="1" si="112"/>
        <v>34.767811704834607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IFERROR(__xludf.DUMMYFUNCTION("IMPORTRANGE(""https://docs.google.com/spreadsheets/d/1SX6NBoVAgQJ6U1MVXOaj8PK2l7WJ3RER9xtqwdhxkhw/edit?usp=sharing"",""อ่างทอง!L300"")"),0)</f>
        <v>0</v>
      </c>
      <c r="M405" s="170"/>
      <c r="N405" s="170">
        <f ca="1">IFERROR(__xludf.DUMMYFUNCTION("IMPORTRANGE(""https://docs.google.com/spreadsheets/d/1SX6NBoVAgQJ6U1MVXOaj8PK2l7WJ3RER9xtqwdhxkhw/edit?usp=sharing"",""อ่างทอง!M300"")"),0)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IFERROR(__xludf.DUMMYFUNCTION("IMPORTRANGE(""https://docs.google.com/spreadsheets/d/1SX6NBoVAgQJ6U1MVXOaj8PK2l7WJ3RER9xtqwdhxkhw/edit?usp=sharing"",""อ่างทอง!L301"")"),31440)</f>
        <v>31440</v>
      </c>
      <c r="M406" s="170"/>
      <c r="N406" s="170">
        <f ca="1">IFERROR(__xludf.DUMMYFUNCTION("IMPORTRANGE(""https://docs.google.com/spreadsheets/d/1SX6NBoVAgQJ6U1MVXOaj8PK2l7WJ3RER9xtqwdhxkhw/edit?usp=sharing"",""อ่างทอง!M301"")"),10931)</f>
        <v>10931</v>
      </c>
      <c r="O406" s="170">
        <f t="shared" ca="1" si="112"/>
        <v>34.767811704834607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IFERROR(__xludf.DUMMYFUNCTION("IMPORTRANGE(""https://docs.google.com/spreadsheets/d/1SX6NBoVAgQJ6U1MVXOaj8PK2l7WJ3RER9xtqwdhxkhw/edit?usp=sharing"",""อ่างทอง!M302"")"),10931)</f>
        <v>10931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IFERROR(__xludf.DUMMYFUNCTION("IMPORTRANGE(""https://docs.google.com/spreadsheets/d/1SX6NBoVAgQJ6U1MVXOaj8PK2l7WJ3RER9xtqwdhxkhw/edit?usp=sharing"",""อ่างทอง!M305"")"),0)</f>
        <v>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IFERROR(__xludf.DUMMYFUNCTION("IMPORTRANGE(""https://docs.google.com/spreadsheets/d/1SX6NBoVAgQJ6U1MVXOaj8PK2l7WJ3RER9xtqwdhxkhw/edit?usp=sharing"",""อ่างทอง!J307"")"),0)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IFERROR(__xludf.DUMMYFUNCTION("IMPORTRANGE(""https://docs.google.com/spreadsheets/d/1SX6NBoVAgQJ6U1MVXOaj8PK2l7WJ3RER9xtqwdhxkhw/edit?usp=sharing"",""อ่างทอง!J308"")"),1)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IFERROR(__xludf.DUMMYFUNCTION("IMPORTRANGE(""https://docs.google.com/spreadsheets/d/1SX6NBoVAgQJ6U1MVXOaj8PK2l7WJ3RER9xtqwdhxkhw/edit?usp=sharing"",""อ่างทอง!J309"")"),0)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IFERROR(__xludf.DUMMYFUNCTION("IMPORTRANGE(""https://docs.google.com/spreadsheets/d/1SX6NBoVAgQJ6U1MVXOaj8PK2l7WJ3RER9xtqwdhxkhw/edit?usp=sharing"",""อ่างทอง!J310"")"),0)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IFERROR(__xludf.DUMMYFUNCTION("IMPORTRANGE(""https://docs.google.com/spreadsheets/d/1SX6NBoVAgQJ6U1MVXOaj8PK2l7WJ3RER9xtqwdhxkhw/edit?usp=sharing"",""อ่างทอง!I311"")"),10)</f>
        <v>10</v>
      </c>
      <c r="J416" s="202">
        <f ca="1">IFERROR(__xludf.DUMMYFUNCTION("IMPORTRANGE(""https://docs.google.com/spreadsheets/d/1SX6NBoVAgQJ6U1MVXOaj8PK2l7WJ3RER9xtqwdhxkhw/edit?usp=sharing"",""อ่างทอง!J311"")"),0)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IFERROR(__xludf.DUMMYFUNCTION("IMPORTRANGE(""https://docs.google.com/spreadsheets/d/1SX6NBoVAgQJ6U1MVXOaj8PK2l7WJ3RER9xtqwdhxkhw/edit?usp=sharing"",""อ่างทอง!J328"")"),0)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IFERROR(__xludf.DUMMYFUNCTION("IMPORTRANGE(""https://docs.google.com/spreadsheets/d/1SX6NBoVAgQJ6U1MVXOaj8PK2l7WJ3RER9xtqwdhxkhw/edit?usp=sharing"",""อ่างทอง!J329"")"),0)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IFERROR(__xludf.DUMMYFUNCTION("IMPORTRANGE(""https://docs.google.com/spreadsheets/d/1SX6NBoVAgQJ6U1MVXOaj8PK2l7WJ3RER9xtqwdhxkhw/edit?usp=sharing"",""อ่างทอง!M330"")"),3440)</f>
        <v>3440</v>
      </c>
      <c r="O435" s="412">
        <f t="shared" ref="O435:O439" ca="1" si="114">+IF(L435&gt;0,N435*100/L435,0)</f>
        <v>4.5263157894736841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IFERROR(__xludf.DUMMYFUNCTION("IMPORTRANGE(""https://docs.google.com/spreadsheets/d/1SX6NBoVAgQJ6U1MVXOaj8PK2l7WJ3RER9xtqwdhxkhw/edit?usp=sharing"",""อ่างทอง!L331"")"),0)</f>
        <v>0</v>
      </c>
      <c r="M436" s="166"/>
      <c r="N436" s="170">
        <f ca="1">IFERROR(__xludf.DUMMYFUNCTION("IMPORTRANGE(""https://docs.google.com/spreadsheets/d/1SX6NBoVAgQJ6U1MVXOaj8PK2l7WJ3RER9xtqwdhxkhw/edit?usp=sharing"",""อ่างทอง!M331"")"),0)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IFERROR(__xludf.DUMMYFUNCTION("IMPORTRANGE(""https://docs.google.com/spreadsheets/d/1SX6NBoVAgQJ6U1MVXOaj8PK2l7WJ3RER9xtqwdhxkhw/edit?usp=sharing"",""อ่างทอง!L332"")"),76000)</f>
        <v>76000</v>
      </c>
      <c r="M437" s="167"/>
      <c r="N437" s="170">
        <f ca="1">IFERROR(__xludf.DUMMYFUNCTION("IMPORTRANGE(""https://docs.google.com/spreadsheets/d/1SX6NBoVAgQJ6U1MVXOaj8PK2l7WJ3RER9xtqwdhxkhw/edit?usp=sharing"",""อ่างทอง!M332"")"),3440)</f>
        <v>3440</v>
      </c>
      <c r="O437" s="170">
        <f t="shared" ca="1" si="114"/>
        <v>4.5263157894736841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IFERROR(__xludf.DUMMYFUNCTION("IMPORTRANGE(""https://docs.google.com/spreadsheets/d/1SX6NBoVAgQJ6U1MVXOaj8PK2l7WJ3RER9xtqwdhxkhw/edit?usp=sharing"",""อ่างทอง!L333"")"),0)</f>
        <v>0</v>
      </c>
      <c r="M438" s="170"/>
      <c r="N438" s="170">
        <f ca="1">IFERROR(__xludf.DUMMYFUNCTION("IMPORTRANGE(""https://docs.google.com/spreadsheets/d/1SX6NBoVAgQJ6U1MVXOaj8PK2l7WJ3RER9xtqwdhxkhw/edit?usp=sharing"",""อ่างทอง!M333"")"),0)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IFERROR(__xludf.DUMMYFUNCTION("IMPORTRANGE(""https://docs.google.com/spreadsheets/d/1SX6NBoVAgQJ6U1MVXOaj8PK2l7WJ3RER9xtqwdhxkhw/edit?usp=sharing"",""อ่างทอง!L334"")"),76000)</f>
        <v>76000</v>
      </c>
      <c r="M439" s="170"/>
      <c r="N439" s="170">
        <f ca="1">IFERROR(__xludf.DUMMYFUNCTION("IMPORTRANGE(""https://docs.google.com/spreadsheets/d/1SX6NBoVAgQJ6U1MVXOaj8PK2l7WJ3RER9xtqwdhxkhw/edit?usp=sharing"",""อ่างทอง!M334"")"),3440)</f>
        <v>3440</v>
      </c>
      <c r="O439" s="170">
        <f t="shared" ca="1" si="114"/>
        <v>4.5263157894736841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IFERROR(__xludf.DUMMYFUNCTION("IMPORTRANGE(""https://docs.google.com/spreadsheets/d/1SX6NBoVAgQJ6U1MVXOaj8PK2l7WJ3RER9xtqwdhxkhw/edit?usp=sharing"",""อ่างทอง!M335"")"),3440)</f>
        <v>3440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IFERROR(__xludf.DUMMYFUNCTION("IMPORTRANGE(""https://docs.google.com/spreadsheets/d/1SX6NBoVAgQJ6U1MVXOaj8PK2l7WJ3RER9xtqwdhxkhw/edit?usp=sharing"",""อ่างทอง!J342"")"),1)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IFERROR(__xludf.DUMMYFUNCTION("IMPORTRANGE(""https://docs.google.com/spreadsheets/d/1SX6NBoVAgQJ6U1MVXOaj8PK2l7WJ3RER9xtqwdhxkhw/edit?usp=sharing"",""อ่างทอง!J343"")"),1)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2">
        <f ca="1">IFERROR(__xludf.DUMMYFUNCTION("IMPORTRANGE(""https://docs.google.com/spreadsheets/d/1SX6NBoVAgQJ6U1MVXOaj8PK2l7WJ3RER9xtqwdhxkhw/edit?usp=sharing"",""อ่างทอง!J344"")"),0)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IFERROR(__xludf.DUMMYFUNCTION("IMPORTRANGE(""https://docs.google.com/spreadsheets/d/1SX6NBoVAgQJ6U1MVXOaj8PK2l7WJ3RER9xtqwdhxkhw/edit?usp=sharing"",""อ่างทอง!I345"")"),10)</f>
        <v>10</v>
      </c>
      <c r="J450" s="190">
        <f ca="1">IFERROR(__xludf.DUMMYFUNCTION("IMPORTRANGE(""https://docs.google.com/spreadsheets/d/1SX6NBoVAgQJ6U1MVXOaj8PK2l7WJ3RER9xtqwdhxkhw/edit?usp=sharing"",""อ่างทอง!J345"")"),0)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IFERROR(__xludf.DUMMYFUNCTION("IMPORTRANGE(""https://docs.google.com/spreadsheets/d/1SX6NBoVAgQJ6U1MVXOaj8PK2l7WJ3RER9xtqwdhxkhw/edit?usp=sharing"",""อ่างทอง!I346"")"),0)</f>
        <v>0</v>
      </c>
      <c r="J451" s="189">
        <f ca="1">IFERROR(__xludf.DUMMYFUNCTION("IMPORTRANGE(""https://docs.google.com/spreadsheets/d/1SX6NBoVAgQJ6U1MVXOaj8PK2l7WJ3RER9xtqwdhxkhw/edit?usp=sharing"",""อ่างทอง!J346"")"),0)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IFERROR(__xludf.DUMMYFUNCTION("IMPORTRANGE(""https://docs.google.com/spreadsheets/d/1SX6NBoVAgQJ6U1MVXOaj8PK2l7WJ3RER9xtqwdhxkhw/edit?usp=sharing"",""อ่างทอง!I347"")"),0)</f>
        <v>0</v>
      </c>
      <c r="J452" s="189">
        <f ca="1">IFERROR(__xludf.DUMMYFUNCTION("IMPORTRANGE(""https://docs.google.com/spreadsheets/d/1SX6NBoVAgQJ6U1MVXOaj8PK2l7WJ3RER9xtqwdhxkhw/edit?usp=sharing"",""อ่างทอง!J347"")"),0)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IFERROR(__xludf.DUMMYFUNCTION("IMPORTRANGE(""https://docs.google.com/spreadsheets/d/1SX6NBoVAgQJ6U1MVXOaj8PK2l7WJ3RER9xtqwdhxkhw/edit?usp=sharing"",""อ่างทอง!J348"")"),0)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IFERROR(__xludf.DUMMYFUNCTION("IMPORTRANGE(""https://docs.google.com/spreadsheets/d/1SX6NBoVAgQJ6U1MVXOaj8PK2l7WJ3RER9xtqwdhxkhw/edit?usp=sharing"",""อ่างทอง!J349"")"),0)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IFERROR(__xludf.DUMMYFUNCTION("IMPORTRANGE(""https://docs.google.com/spreadsheets/d/1SX6NBoVAgQJ6U1MVXOaj8PK2l7WJ3RER9xtqwdhxkhw/edit?usp=sharing"",""อ่างทอง!L351"")"),0)</f>
        <v>0</v>
      </c>
      <c r="M456" s="166"/>
      <c r="N456" s="170">
        <f ca="1">IFERROR(__xludf.DUMMYFUNCTION("IMPORTRANGE(""https://docs.google.com/spreadsheets/d/1SX6NBoVAgQJ6U1MVXOaj8PK2l7WJ3RER9xtqwdhxkhw/edit?usp=sharing"",""อ่างทอง!M351"")"),0)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IFERROR(__xludf.DUMMYFUNCTION("IMPORTRANGE(""https://docs.google.com/spreadsheets/d/1SX6NBoVAgQJ6U1MVXOaj8PK2l7WJ3RER9xtqwdhxkhw/edit?usp=sharing"",""อ่างทอง!L352"")"),0)</f>
        <v>0</v>
      </c>
      <c r="M457" s="167"/>
      <c r="N457" s="170">
        <f ca="1">IFERROR(__xludf.DUMMYFUNCTION("IMPORTRANGE(""https://docs.google.com/spreadsheets/d/1SX6NBoVAgQJ6U1MVXOaj8PK2l7WJ3RER9xtqwdhxkhw/edit?usp=sharing"",""อ่างทอง!M352"")"),0)</f>
        <v>0</v>
      </c>
      <c r="O457" s="170">
        <f t="shared" ca="1" si="116"/>
        <v>0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IFERROR(__xludf.DUMMYFUNCTION("IMPORTRANGE(""https://docs.google.com/spreadsheets/d/1SX6NBoVAgQJ6U1MVXOaj8PK2l7WJ3RER9xtqwdhxkhw/edit?usp=sharing"",""อ่างทอง!L353"")"),0)</f>
        <v>0</v>
      </c>
      <c r="M458" s="170"/>
      <c r="N458" s="170">
        <f ca="1">IFERROR(__xludf.DUMMYFUNCTION("IMPORTRANGE(""https://docs.google.com/spreadsheets/d/1SX6NBoVAgQJ6U1MVXOaj8PK2l7WJ3RER9xtqwdhxkhw/edit?usp=sharing"",""อ่างทอง!M353"")"),0)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IFERROR(__xludf.DUMMYFUNCTION("IMPORTRANGE(""https://docs.google.com/spreadsheets/d/1SX6NBoVAgQJ6U1MVXOaj8PK2l7WJ3RER9xtqwdhxkhw/edit?usp=sharing"",""อ่างทอง!L354"")"),0)</f>
        <v>0</v>
      </c>
      <c r="M459" s="170"/>
      <c r="N459" s="170">
        <f ca="1">IFERROR(__xludf.DUMMYFUNCTION("IMPORTRANGE(""https://docs.google.com/spreadsheets/d/1SX6NBoVAgQJ6U1MVXOaj8PK2l7WJ3RER9xtqwdhxkhw/edit?usp=sharing"",""อ่างทอง!M354"")"),0)</f>
        <v>0</v>
      </c>
      <c r="O459" s="170">
        <f t="shared" ca="1" si="116"/>
        <v>0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IFERROR(__xludf.DUMMYFUNCTION("IMPORTRANGE(""https://docs.google.com/spreadsheets/d/1SX6NBoVAgQJ6U1MVXOaj8PK2l7WJ3RER9xtqwdhxkhw/edit?usp=sharing"",""อ่างทอง!M355"")"),0)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IFERROR(__xludf.DUMMYFUNCTION("IMPORTRANGE(""https://docs.google.com/spreadsheets/d/1SX6NBoVAgQJ6U1MVXOaj8PK2l7WJ3RER9xtqwdhxkhw/edit?usp=sharing"",""อ่างทอง!M356"")"),0)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IFERROR(__xludf.DUMMYFUNCTION("IMPORTRANGE(""https://docs.google.com/spreadsheets/d/1SX6NBoVAgQJ6U1MVXOaj8PK2l7WJ3RER9xtqwdhxkhw/edit?usp=sharing"",""อ่างทอง!I362"")"),0)</f>
        <v>0</v>
      </c>
      <c r="J467" s="190">
        <f ca="1">IFERROR(__xludf.DUMMYFUNCTION("IMPORTRANGE(""https://docs.google.com/spreadsheets/d/1SX6NBoVAgQJ6U1MVXOaj8PK2l7WJ3RER9xtqwdhxkhw/edit?usp=sharing"",""อ่างทอง!J362"")"),0)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IFERROR(__xludf.DUMMYFUNCTION("IMPORTRANGE(""https://docs.google.com/spreadsheets/d/1SX6NBoVAgQJ6U1MVXOaj8PK2l7WJ3RER9xtqwdhxkhw/edit?usp=sharing"",""อ่างทอง!I363"")"),0)</f>
        <v>0</v>
      </c>
      <c r="J468" s="190">
        <f ca="1">IFERROR(__xludf.DUMMYFUNCTION("IMPORTRANGE(""https://docs.google.com/spreadsheets/d/1SX6NBoVAgQJ6U1MVXOaj8PK2l7WJ3RER9xtqwdhxkhw/edit?usp=sharing"",""อ่างทอง!J363"")"),0)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IFERROR(__xludf.DUMMYFUNCTION("IMPORTRANGE(""https://docs.google.com/spreadsheets/d/1SX6NBoVAgQJ6U1MVXOaj8PK2l7WJ3RER9xtqwdhxkhw/edit?usp=sharing"",""อ่างทอง!I364"")"),0)</f>
        <v>0</v>
      </c>
      <c r="J469" s="190">
        <f ca="1">IFERROR(__xludf.DUMMYFUNCTION("IMPORTRANGE(""https://docs.google.com/spreadsheets/d/1SX6NBoVAgQJ6U1MVXOaj8PK2l7WJ3RER9xtqwdhxkhw/edit?usp=sharing"",""อ่างทอง!J364"")"),0)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IFERROR(__xludf.DUMMYFUNCTION("IMPORTRANGE(""https://docs.google.com/spreadsheets/d/1SX6NBoVAgQJ6U1MVXOaj8PK2l7WJ3RER9xtqwdhxkhw/edit?usp=sharing"",""อ่างทอง!I365"")"),0)</f>
        <v>0</v>
      </c>
      <c r="J470" s="190">
        <f ca="1">IFERROR(__xludf.DUMMYFUNCTION("IMPORTRANGE(""https://docs.google.com/spreadsheets/d/1SX6NBoVAgQJ6U1MVXOaj8PK2l7WJ3RER9xtqwdhxkhw/edit?usp=sharing"",""อ่างทอง!J365"")"),0)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IFERROR(__xludf.DUMMYFUNCTION("IMPORTRANGE(""https://docs.google.com/spreadsheets/d/1SX6NBoVAgQJ6U1MVXOaj8PK2l7WJ3RER9xtqwdhxkhw/edit?usp=sharing"",""อ่างทอง!I366"")"),0)</f>
        <v>0</v>
      </c>
      <c r="J471" s="190">
        <f ca="1">IFERROR(__xludf.DUMMYFUNCTION("IMPORTRANGE(""https://docs.google.com/spreadsheets/d/1SX6NBoVAgQJ6U1MVXOaj8PK2l7WJ3RER9xtqwdhxkhw/edit?usp=sharing"",""อ่างทอง!J366"")"),0)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IFERROR(__xludf.DUMMYFUNCTION("IMPORTRANGE(""https://docs.google.com/spreadsheets/d/1SX6NBoVAgQJ6U1MVXOaj8PK2l7WJ3RER9xtqwdhxkhw/edit?usp=sharing"",""อ่างทอง!I367"")"),0)</f>
        <v>0</v>
      </c>
      <c r="J472" s="190">
        <f ca="1">IFERROR(__xludf.DUMMYFUNCTION("IMPORTRANGE(""https://docs.google.com/spreadsheets/d/1SX6NBoVAgQJ6U1MVXOaj8PK2l7WJ3RER9xtqwdhxkhw/edit?usp=sharing"",""อ่างทอง!J367"")"),0)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IFERROR(__xludf.DUMMYFUNCTION("IMPORTRANGE(""https://docs.google.com/spreadsheets/d/1SX6NBoVAgQJ6U1MVXOaj8PK2l7WJ3RER9xtqwdhxkhw/edit?usp=sharing"",""อ่างทอง!I370"")"),0)</f>
        <v>0</v>
      </c>
      <c r="J475" s="190">
        <f ca="1">IFERROR(__xludf.DUMMYFUNCTION("IMPORTRANGE(""https://docs.google.com/spreadsheets/d/1SX6NBoVAgQJ6U1MVXOaj8PK2l7WJ3RER9xtqwdhxkhw/edit?usp=sharing"",""อ่างทอง!J370"")"),0)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IFERROR(__xludf.DUMMYFUNCTION("IMPORTRANGE(""https://docs.google.com/spreadsheets/d/1SX6NBoVAgQJ6U1MVXOaj8PK2l7WJ3RER9xtqwdhxkhw/edit?usp=sharing"",""อ่างทอง!I371"")"),0)</f>
        <v>0</v>
      </c>
      <c r="J476" s="190">
        <f ca="1">IFERROR(__xludf.DUMMYFUNCTION("IMPORTRANGE(""https://docs.google.com/spreadsheets/d/1SX6NBoVAgQJ6U1MVXOaj8PK2l7WJ3RER9xtqwdhxkhw/edit?usp=sharing"",""อ่างทอง!J371"")"),0)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IFERROR(__xludf.DUMMYFUNCTION("IMPORTRANGE(""https://docs.google.com/spreadsheets/d/1SX6NBoVAgQJ6U1MVXOaj8PK2l7WJ3RER9xtqwdhxkhw/edit?usp=sharing"",""อ่างทอง!I372"")"),0)</f>
        <v>0</v>
      </c>
      <c r="J477" s="190">
        <f ca="1">IFERROR(__xludf.DUMMYFUNCTION("IMPORTRANGE(""https://docs.google.com/spreadsheets/d/1SX6NBoVAgQJ6U1MVXOaj8PK2l7WJ3RER9xtqwdhxkhw/edit?usp=sharing"",""อ่างทอง!J372"")"),0)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IFERROR(__xludf.DUMMYFUNCTION("IMPORTRANGE(""https://docs.google.com/spreadsheets/d/1SX6NBoVAgQJ6U1MVXOaj8PK2l7WJ3RER9xtqwdhxkhw/edit?usp=sharing"",""อ่างทอง!I373"")"),0)</f>
        <v>0</v>
      </c>
      <c r="J478" s="190">
        <f ca="1">IFERROR(__xludf.DUMMYFUNCTION("IMPORTRANGE(""https://docs.google.com/spreadsheets/d/1SX6NBoVAgQJ6U1MVXOaj8PK2l7WJ3RER9xtqwdhxkhw/edit?usp=sharing"",""อ่างทอง!J373"")"),0)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IFERROR(__xludf.DUMMYFUNCTION("IMPORTRANGE(""https://docs.google.com/spreadsheets/d/1SX6NBoVAgQJ6U1MVXOaj8PK2l7WJ3RER9xtqwdhxkhw/edit?usp=sharing"",""อ่างทอง!I374"")"),0)</f>
        <v>0</v>
      </c>
      <c r="J479" s="190">
        <f ca="1">IFERROR(__xludf.DUMMYFUNCTION("IMPORTRANGE(""https://docs.google.com/spreadsheets/d/1SX6NBoVAgQJ6U1MVXOaj8PK2l7WJ3RER9xtqwdhxkhw/edit?usp=sharing"",""อ่างทอง!J374"")"),0)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IFERROR(__xludf.DUMMYFUNCTION("IMPORTRANGE(""https://docs.google.com/spreadsheets/d/1SX6NBoVAgQJ6U1MVXOaj8PK2l7WJ3RER9xtqwdhxkhw/edit?usp=sharing"",""อ่างทอง!I375"")"),0)</f>
        <v>0</v>
      </c>
      <c r="J480" s="190">
        <f ca="1">IFERROR(__xludf.DUMMYFUNCTION("IMPORTRANGE(""https://docs.google.com/spreadsheets/d/1SX6NBoVAgQJ6U1MVXOaj8PK2l7WJ3RER9xtqwdhxkhw/edit?usp=sharing"",""อ่างทอง!J375"")"),0)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IFERROR(__xludf.DUMMYFUNCTION("IMPORTRANGE(""https://docs.google.com/spreadsheets/d/1SX6NBoVAgQJ6U1MVXOaj8PK2l7WJ3RER9xtqwdhxkhw/edit?usp=sharing"",""อ่างทอง!I378"")"),0)</f>
        <v>0</v>
      </c>
      <c r="J483" s="190">
        <f ca="1">IFERROR(__xludf.DUMMYFUNCTION("IMPORTRANGE(""https://docs.google.com/spreadsheets/d/1SX6NBoVAgQJ6U1MVXOaj8PK2l7WJ3RER9xtqwdhxkhw/edit?usp=sharing"",""อ่างทอง!J378"")"),0)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IFERROR(__xludf.DUMMYFUNCTION("IMPORTRANGE(""https://docs.google.com/spreadsheets/d/1SX6NBoVAgQJ6U1MVXOaj8PK2l7WJ3RER9xtqwdhxkhw/edit?usp=sharing"",""อ่างทอง!I379"")"),0)</f>
        <v>0</v>
      </c>
      <c r="J484" s="190">
        <f ca="1">IFERROR(__xludf.DUMMYFUNCTION("IMPORTRANGE(""https://docs.google.com/spreadsheets/d/1SX6NBoVAgQJ6U1MVXOaj8PK2l7WJ3RER9xtqwdhxkhw/edit?usp=sharing"",""อ่างทอง!J379"")"),0)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IFERROR(__xludf.DUMMYFUNCTION("IMPORTRANGE(""https://docs.google.com/spreadsheets/d/1SX6NBoVAgQJ6U1MVXOaj8PK2l7WJ3RER9xtqwdhxkhw/edit?usp=sharing"",""อ่างทอง!I380"")"),0)</f>
        <v>0</v>
      </c>
      <c r="J485" s="190">
        <f ca="1">IFERROR(__xludf.DUMMYFUNCTION("IMPORTRANGE(""https://docs.google.com/spreadsheets/d/1SX6NBoVAgQJ6U1MVXOaj8PK2l7WJ3RER9xtqwdhxkhw/edit?usp=sharing"",""อ่างทอง!J380"")"),0)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IFERROR(__xludf.DUMMYFUNCTION("IMPORTRANGE(""https://docs.google.com/spreadsheets/d/1SX6NBoVAgQJ6U1MVXOaj8PK2l7WJ3RER9xtqwdhxkhw/edit?usp=sharing"",""อ่างทอง!I381"")"),0)</f>
        <v>0</v>
      </c>
      <c r="J486" s="190">
        <f ca="1">IFERROR(__xludf.DUMMYFUNCTION("IMPORTRANGE(""https://docs.google.com/spreadsheets/d/1SX6NBoVAgQJ6U1MVXOaj8PK2l7WJ3RER9xtqwdhxkhw/edit?usp=sharing"",""อ่างทอง!J381"")"),0)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IFERROR(__xludf.DUMMYFUNCTION("IMPORTRANGE(""https://docs.google.com/spreadsheets/d/1SX6NBoVAgQJ6U1MVXOaj8PK2l7WJ3RER9xtqwdhxkhw/edit?usp=sharing"",""อ่างทอง!I384"")"),0)</f>
        <v>0</v>
      </c>
      <c r="J489" s="190">
        <f ca="1">IFERROR(__xludf.DUMMYFUNCTION("IMPORTRANGE(""https://docs.google.com/spreadsheets/d/1SX6NBoVAgQJ6U1MVXOaj8PK2l7WJ3RER9xtqwdhxkhw/edit?usp=sharing"",""อ่างทอง!J384"")"),0)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IFERROR(__xludf.DUMMYFUNCTION("IMPORTRANGE(""https://docs.google.com/spreadsheets/d/1SX6NBoVAgQJ6U1MVXOaj8PK2l7WJ3RER9xtqwdhxkhw/edit?usp=sharing"",""อ่างทอง!I385"")"),0)</f>
        <v>0</v>
      </c>
      <c r="J490" s="190">
        <f ca="1">IFERROR(__xludf.DUMMYFUNCTION("IMPORTRANGE(""https://docs.google.com/spreadsheets/d/1SX6NBoVAgQJ6U1MVXOaj8PK2l7WJ3RER9xtqwdhxkhw/edit?usp=sharing"",""อ่างทอง!J385"")"),0)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IFERROR(__xludf.DUMMYFUNCTION("IMPORTRANGE(""https://docs.google.com/spreadsheets/d/1SX6NBoVAgQJ6U1MVXOaj8PK2l7WJ3RER9xtqwdhxkhw/edit?usp=sharing"",""อ่างทอง!I386"")"),0)</f>
        <v>0</v>
      </c>
      <c r="J491" s="190">
        <f ca="1">IFERROR(__xludf.DUMMYFUNCTION("IMPORTRANGE(""https://docs.google.com/spreadsheets/d/1SX6NBoVAgQJ6U1MVXOaj8PK2l7WJ3RER9xtqwdhxkhw/edit?usp=sharing"",""อ่างทอง!J386"")"),0)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IFERROR(__xludf.DUMMYFUNCTION("IMPORTRANGE(""https://docs.google.com/spreadsheets/d/1SX6NBoVAgQJ6U1MVXOaj8PK2l7WJ3RER9xtqwdhxkhw/edit?usp=sharing"",""อ่างทอง!I387"")"),0)</f>
        <v>0</v>
      </c>
      <c r="J492" s="190">
        <f ca="1">IFERROR(__xludf.DUMMYFUNCTION("IMPORTRANGE(""https://docs.google.com/spreadsheets/d/1SX6NBoVAgQJ6U1MVXOaj8PK2l7WJ3RER9xtqwdhxkhw/edit?usp=sharing"",""อ่างทอง!J387"")"),0)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IFERROR(__xludf.DUMMYFUNCTION("IMPORTRANGE(""https://docs.google.com/spreadsheets/d/1SX6NBoVAgQJ6U1MVXOaj8PK2l7WJ3RER9xtqwdhxkhw/edit?usp=sharing"",""อ่างทอง!I388"")"),0)</f>
        <v>0</v>
      </c>
      <c r="J493" s="190">
        <f ca="1">IFERROR(__xludf.DUMMYFUNCTION("IMPORTRANGE(""https://docs.google.com/spreadsheets/d/1SX6NBoVAgQJ6U1MVXOaj8PK2l7WJ3RER9xtqwdhxkhw/edit?usp=sharing"",""อ่างทอง!J388"")"),0)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IFERROR(__xludf.DUMMYFUNCTION("IMPORTRANGE(""https://docs.google.com/spreadsheets/d/1SX6NBoVAgQJ6U1MVXOaj8PK2l7WJ3RER9xtqwdhxkhw/edit?usp=sharing"",""อ่างทอง!I395"")"),0)</f>
        <v>0</v>
      </c>
      <c r="J500" s="164">
        <f ca="1">IFERROR(__xludf.DUMMYFUNCTION("IMPORTRANGE(""https://docs.google.com/spreadsheets/d/1SX6NBoVAgQJ6U1MVXOaj8PK2l7WJ3RER9xtqwdhxkhw/edit?usp=sharing"",""อ่างทอง!J395"")"),0)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IFERROR(__xludf.DUMMYFUNCTION("IMPORTRANGE(""https://docs.google.com/spreadsheets/d/1SX6NBoVAgQJ6U1MVXOaj8PK2l7WJ3RER9xtqwdhxkhw/edit?usp=sharing"",""อ่างทอง!I396"")"),0)</f>
        <v>0</v>
      </c>
      <c r="J501" s="164">
        <f ca="1">IFERROR(__xludf.DUMMYFUNCTION("IMPORTRANGE(""https://docs.google.com/spreadsheets/d/1SX6NBoVAgQJ6U1MVXOaj8PK2l7WJ3RER9xtqwdhxkhw/edit?usp=sharing"",""อ่างทอง!J396"")"),0)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IFERROR(__xludf.DUMMYFUNCTION("IMPORTRANGE(""https://docs.google.com/spreadsheets/d/1SX6NBoVAgQJ6U1MVXOaj8PK2l7WJ3RER9xtqwdhxkhw/edit?usp=sharing"",""อ่างทอง!I397"")"),0)</f>
        <v>0</v>
      </c>
      <c r="J502" s="190">
        <f ca="1">IFERROR(__xludf.DUMMYFUNCTION("IMPORTRANGE(""https://docs.google.com/spreadsheets/d/1SX6NBoVAgQJ6U1MVXOaj8PK2l7WJ3RER9xtqwdhxkhw/edit?usp=sharing"",""อ่างทอง!J397"")"),0)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IFERROR(__xludf.DUMMYFUNCTION("IMPORTRANGE(""https://docs.google.com/spreadsheets/d/1SX6NBoVAgQJ6U1MVXOaj8PK2l7WJ3RER9xtqwdhxkhw/edit?usp=sharing"",""อ่างทอง!I398"")"),0)</f>
        <v>0</v>
      </c>
      <c r="J503" s="199">
        <f ca="1">IFERROR(__xludf.DUMMYFUNCTION("IMPORTRANGE(""https://docs.google.com/spreadsheets/d/1SX6NBoVAgQJ6U1MVXOaj8PK2l7WJ3RER9xtqwdhxkhw/edit?usp=sharing"",""อ่างทอง!J398"")"),0)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IFERROR(__xludf.DUMMYFUNCTION("IMPORTRANGE(""https://docs.google.com/spreadsheets/d/1SX6NBoVAgQJ6U1MVXOaj8PK2l7WJ3RER9xtqwdhxkhw/edit?usp=sharing"",""อ่างทอง!I399"")"),0)</f>
        <v>0</v>
      </c>
      <c r="J504" s="190">
        <f ca="1">IFERROR(__xludf.DUMMYFUNCTION("IMPORTRANGE(""https://docs.google.com/spreadsheets/d/1SX6NBoVAgQJ6U1MVXOaj8PK2l7WJ3RER9xtqwdhxkhw/edit?usp=sharing"",""อ่างทอง!J399"")"),0)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IFERROR(__xludf.DUMMYFUNCTION("IMPORTRANGE(""https://docs.google.com/spreadsheets/d/1SX6NBoVAgQJ6U1MVXOaj8PK2l7WJ3RER9xtqwdhxkhw/edit?usp=sharing"",""อ่างทอง!I400"")"),0)</f>
        <v>0</v>
      </c>
      <c r="J505" s="199">
        <f ca="1">IFERROR(__xludf.DUMMYFUNCTION("IMPORTRANGE(""https://docs.google.com/spreadsheets/d/1SX6NBoVAgQJ6U1MVXOaj8PK2l7WJ3RER9xtqwdhxkhw/edit?usp=sharing"",""อ่างทอง!J400"")"),0)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IFERROR(__xludf.DUMMYFUNCTION("IMPORTRANGE(""https://docs.google.com/spreadsheets/d/1SX6NBoVAgQJ6U1MVXOaj8PK2l7WJ3RER9xtqwdhxkhw/edit?usp=sharing"",""อ่างทอง!I401"")"),0)</f>
        <v>0</v>
      </c>
      <c r="J506" s="190">
        <f ca="1">IFERROR(__xludf.DUMMYFUNCTION("IMPORTRANGE(""https://docs.google.com/spreadsheets/d/1SX6NBoVAgQJ6U1MVXOaj8PK2l7WJ3RER9xtqwdhxkhw/edit?usp=sharing"",""อ่างทอง!J401"")"),0)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IFERROR(__xludf.DUMMYFUNCTION("IMPORTRANGE(""https://docs.google.com/spreadsheets/d/1SX6NBoVAgQJ6U1MVXOaj8PK2l7WJ3RER9xtqwdhxkhw/edit?usp=sharing"",""อ่างทอง!I402"")"),0)</f>
        <v>0</v>
      </c>
      <c r="J507" s="199">
        <f ca="1">IFERROR(__xludf.DUMMYFUNCTION("IMPORTRANGE(""https://docs.google.com/spreadsheets/d/1SX6NBoVAgQJ6U1MVXOaj8PK2l7WJ3RER9xtqwdhxkhw/edit?usp=sharing"",""อ่างทอง!J402"")"),0)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IFERROR(__xludf.DUMMYFUNCTION("IMPORTRANGE(""https://docs.google.com/spreadsheets/d/1SX6NBoVAgQJ6U1MVXOaj8PK2l7WJ3RER9xtqwdhxkhw/edit?usp=sharing"",""อ่างทอง!I403"")"),0)</f>
        <v>0</v>
      </c>
      <c r="J508" s="164">
        <f ca="1">IFERROR(__xludf.DUMMYFUNCTION("IMPORTRANGE(""https://docs.google.com/spreadsheets/d/1SX6NBoVAgQJ6U1MVXOaj8PK2l7WJ3RER9xtqwdhxkhw/edit?usp=sharing"",""อ่างทอง!J403"")"),0)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IFERROR(__xludf.DUMMYFUNCTION("IMPORTRANGE(""https://docs.google.com/spreadsheets/d/1SX6NBoVAgQJ6U1MVXOaj8PK2l7WJ3RER9xtqwdhxkhw/edit?usp=sharing"",""อ่างทอง!I404"")"),0)</f>
        <v>0</v>
      </c>
      <c r="J509" s="164">
        <f ca="1">IFERROR(__xludf.DUMMYFUNCTION("IMPORTRANGE(""https://docs.google.com/spreadsheets/d/1SX6NBoVAgQJ6U1MVXOaj8PK2l7WJ3RER9xtqwdhxkhw/edit?usp=sharing"",""อ่างทอง!J404"")"),0)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IFERROR(__xludf.DUMMYFUNCTION("IMPORTRANGE(""https://docs.google.com/spreadsheets/d/1SX6NBoVAgQJ6U1MVXOaj8PK2l7WJ3RER9xtqwdhxkhw/edit?usp=sharing"",""อ่างทอง!I405"")"),0)</f>
        <v>0</v>
      </c>
      <c r="J510" s="199">
        <f ca="1">IFERROR(__xludf.DUMMYFUNCTION("IMPORTRANGE(""https://docs.google.com/spreadsheets/d/1SX6NBoVAgQJ6U1MVXOaj8PK2l7WJ3RER9xtqwdhxkhw/edit?usp=sharing"",""อ่างทอง!J405"")"),0)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IFERROR(__xludf.DUMMYFUNCTION("IMPORTRANGE(""https://docs.google.com/spreadsheets/d/1SX6NBoVAgQJ6U1MVXOaj8PK2l7WJ3RER9xtqwdhxkhw/edit?usp=sharing"",""อ่างทอง!I406"")"),0)</f>
        <v>0</v>
      </c>
      <c r="J511" s="199">
        <f ca="1">IFERROR(__xludf.DUMMYFUNCTION("IMPORTRANGE(""https://docs.google.com/spreadsheets/d/1SX6NBoVAgQJ6U1MVXOaj8PK2l7WJ3RER9xtqwdhxkhw/edit?usp=sharing"",""อ่างทอง!J406"")"),0)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IFERROR(__xludf.DUMMYFUNCTION("IMPORTRANGE(""https://docs.google.com/spreadsheets/d/1SX6NBoVAgQJ6U1MVXOaj8PK2l7WJ3RER9xtqwdhxkhw/edit?usp=sharing"",""อ่างทอง!I407"")"),0)</f>
        <v>0</v>
      </c>
      <c r="J512" s="199">
        <f ca="1">IFERROR(__xludf.DUMMYFUNCTION("IMPORTRANGE(""https://docs.google.com/spreadsheets/d/1SX6NBoVAgQJ6U1MVXOaj8PK2l7WJ3RER9xtqwdhxkhw/edit?usp=sharing"",""อ่างทอง!J407"")"),0)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IFERROR(__xludf.DUMMYFUNCTION("IMPORTRANGE(""https://docs.google.com/spreadsheets/d/1SX6NBoVAgQJ6U1MVXOaj8PK2l7WJ3RER9xtqwdhxkhw/edit?usp=sharing"",""อ่างทอง!I408"")"),0)</f>
        <v>0</v>
      </c>
      <c r="J513" s="199">
        <f ca="1">IFERROR(__xludf.DUMMYFUNCTION("IMPORTRANGE(""https://docs.google.com/spreadsheets/d/1SX6NBoVAgQJ6U1MVXOaj8PK2l7WJ3RER9xtqwdhxkhw/edit?usp=sharing"",""อ่างทอง!J408"")"),0)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IFERROR(__xludf.DUMMYFUNCTION("IMPORTRANGE(""https://docs.google.com/spreadsheets/d/1SX6NBoVAgQJ6U1MVXOaj8PK2l7WJ3RER9xtqwdhxkhw/edit?usp=sharing"",""อ่างทอง!I409"")"),0)</f>
        <v>0</v>
      </c>
      <c r="J514" s="199">
        <f ca="1">IFERROR(__xludf.DUMMYFUNCTION("IMPORTRANGE(""https://docs.google.com/spreadsheets/d/1SX6NBoVAgQJ6U1MVXOaj8PK2l7WJ3RER9xtqwdhxkhw/edit?usp=sharing"",""อ่างทอง!J409"")"),0)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IFERROR(__xludf.DUMMYFUNCTION("IMPORTRANGE(""https://docs.google.com/spreadsheets/d/1SX6NBoVAgQJ6U1MVXOaj8PK2l7WJ3RER9xtqwdhxkhw/edit?usp=sharing"",""อ่างทอง!I410"")"),0)</f>
        <v>0</v>
      </c>
      <c r="J515" s="199">
        <f ca="1">IFERROR(__xludf.DUMMYFUNCTION("IMPORTRANGE(""https://docs.google.com/spreadsheets/d/1SX6NBoVAgQJ6U1MVXOaj8PK2l7WJ3RER9xtqwdhxkhw/edit?usp=sharing"",""อ่างทอง!J410"")"),0)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IFERROR(__xludf.DUMMYFUNCTION("IMPORTRANGE(""https://docs.google.com/spreadsheets/d/1SX6NBoVAgQJ6U1MVXOaj8PK2l7WJ3RER9xtqwdhxkhw/edit?usp=sharing"",""อ่างทอง!I412"")"),0)</f>
        <v>0</v>
      </c>
      <c r="J517" s="284">
        <f ca="1">IFERROR(__xludf.DUMMYFUNCTION("IMPORTRANGE(""https://docs.google.com/spreadsheets/d/1SX6NBoVAgQJ6U1MVXOaj8PK2l7WJ3RER9xtqwdhxkhw/edit?usp=sharing"",""อ่างทอง!J412"")"),0)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IFERROR(__xludf.DUMMYFUNCTION("IMPORTRANGE(""https://docs.google.com/spreadsheets/d/1SX6NBoVAgQJ6U1MVXOaj8PK2l7WJ3RER9xtqwdhxkhw/edit?usp=sharing"",""อ่างทอง!I413"")"),0)</f>
        <v>0</v>
      </c>
      <c r="J518" s="284">
        <f ca="1">IFERROR(__xludf.DUMMYFUNCTION("IMPORTRANGE(""https://docs.google.com/spreadsheets/d/1SX6NBoVAgQJ6U1MVXOaj8PK2l7WJ3RER9xtqwdhxkhw/edit?usp=sharing"",""อ่างทอง!J413"")"),0)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IFERROR(__xludf.DUMMYFUNCTION("IMPORTRANGE(""https://docs.google.com/spreadsheets/d/1SX6NBoVAgQJ6U1MVXOaj8PK2l7WJ3RER9xtqwdhxkhw/edit?usp=sharing"",""อ่างทอง!I414"")"),0)</f>
        <v>0</v>
      </c>
      <c r="J519" s="189">
        <f ca="1">IFERROR(__xludf.DUMMYFUNCTION("IMPORTRANGE(""https://docs.google.com/spreadsheets/d/1SX6NBoVAgQJ6U1MVXOaj8PK2l7WJ3RER9xtqwdhxkhw/edit?usp=sharing"",""อ่างทอง!J414"")"),0)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IFERROR(__xludf.DUMMYFUNCTION("IMPORTRANGE(""https://docs.google.com/spreadsheets/d/1SX6NBoVAgQJ6U1MVXOaj8PK2l7WJ3RER9xtqwdhxkhw/edit?usp=sharing"",""อ่างทอง!I415"")"),0)</f>
        <v>0</v>
      </c>
      <c r="J520" s="189">
        <f ca="1">IFERROR(__xludf.DUMMYFUNCTION("IMPORTRANGE(""https://docs.google.com/spreadsheets/d/1SX6NBoVAgQJ6U1MVXOaj8PK2l7WJ3RER9xtqwdhxkhw/edit?usp=sharing"",""อ่างทอง!J415"")"),0)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IFERROR(__xludf.DUMMYFUNCTION("IMPORTRANGE(""https://docs.google.com/spreadsheets/d/1SX6NBoVAgQJ6U1MVXOaj8PK2l7WJ3RER9xtqwdhxkhw/edit?usp=sharing"",""อ่างทอง!I416"")"),0)</f>
        <v>0</v>
      </c>
      <c r="J521" s="189">
        <f ca="1">IFERROR(__xludf.DUMMYFUNCTION("IMPORTRANGE(""https://docs.google.com/spreadsheets/d/1SX6NBoVAgQJ6U1MVXOaj8PK2l7WJ3RER9xtqwdhxkhw/edit?usp=sharing"",""อ่างทอง!J416"")"),0)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IFERROR(__xludf.DUMMYFUNCTION("IMPORTRANGE(""https://docs.google.com/spreadsheets/d/1SX6NBoVAgQJ6U1MVXOaj8PK2l7WJ3RER9xtqwdhxkhw/edit?usp=sharing"",""อ่างทอง!I417"")"),0)</f>
        <v>0</v>
      </c>
      <c r="J522" s="189">
        <f ca="1">IFERROR(__xludf.DUMMYFUNCTION("IMPORTRANGE(""https://docs.google.com/spreadsheets/d/1SX6NBoVAgQJ6U1MVXOaj8PK2l7WJ3RER9xtqwdhxkhw/edit?usp=sharing"",""อ่างทอง!J417"")"),0)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IFERROR(__xludf.DUMMYFUNCTION("IMPORTRANGE(""https://docs.google.com/spreadsheets/d/1SX6NBoVAgQJ6U1MVXOaj8PK2l7WJ3RER9xtqwdhxkhw/edit?usp=sharing"",""อ่างทอง!I418"")"),0)</f>
        <v>0</v>
      </c>
      <c r="J523" s="189">
        <f ca="1">IFERROR(__xludf.DUMMYFUNCTION("IMPORTRANGE(""https://docs.google.com/spreadsheets/d/1SX6NBoVAgQJ6U1MVXOaj8PK2l7WJ3RER9xtqwdhxkhw/edit?usp=sharing"",""อ่างทอง!J418"")"),0)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IFERROR(__xludf.DUMMYFUNCTION("IMPORTRANGE(""https://docs.google.com/spreadsheets/d/1SX6NBoVAgQJ6U1MVXOaj8PK2l7WJ3RER9xtqwdhxkhw/edit?usp=sharing"",""อ่างทอง!I419"")"),0)</f>
        <v>0</v>
      </c>
      <c r="J524" s="189">
        <f ca="1">IFERROR(__xludf.DUMMYFUNCTION("IMPORTRANGE(""https://docs.google.com/spreadsheets/d/1SX6NBoVAgQJ6U1MVXOaj8PK2l7WJ3RER9xtqwdhxkhw/edit?usp=sharing"",""อ่างทอง!J419"")"),0)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IFERROR(__xludf.DUMMYFUNCTION("IMPORTRANGE(""https://docs.google.com/spreadsheets/d/1SX6NBoVAgQJ6U1MVXOaj8PK2l7WJ3RER9xtqwdhxkhw/edit?usp=sharing"",""อ่างทอง!I420"")"),0)</f>
        <v>0</v>
      </c>
      <c r="J525" s="284">
        <f ca="1">IFERROR(__xludf.DUMMYFUNCTION("IMPORTRANGE(""https://docs.google.com/spreadsheets/d/1SX6NBoVAgQJ6U1MVXOaj8PK2l7WJ3RER9xtqwdhxkhw/edit?usp=sharing"",""อ่างทอง!J420"")"),0)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IFERROR(__xludf.DUMMYFUNCTION("IMPORTRANGE(""https://docs.google.com/spreadsheets/d/1SX6NBoVAgQJ6U1MVXOaj8PK2l7WJ3RER9xtqwdhxkhw/edit?usp=sharing"",""อ่างทอง!I421"")"),0)</f>
        <v>0</v>
      </c>
      <c r="J526" s="284">
        <f ca="1">IFERROR(__xludf.DUMMYFUNCTION("IMPORTRANGE(""https://docs.google.com/spreadsheets/d/1SX6NBoVAgQJ6U1MVXOaj8PK2l7WJ3RER9xtqwdhxkhw/edit?usp=sharing"",""อ่างทอง!J421"")"),0)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IFERROR(__xludf.DUMMYFUNCTION("IMPORTRANGE(""https://docs.google.com/spreadsheets/d/1SX6NBoVAgQJ6U1MVXOaj8PK2l7WJ3RER9xtqwdhxkhw/edit?usp=sharing"",""อ่างทอง!I422"")"),0)</f>
        <v>0</v>
      </c>
      <c r="J527" s="199">
        <f ca="1">IFERROR(__xludf.DUMMYFUNCTION("IMPORTRANGE(""https://docs.google.com/spreadsheets/d/1SX6NBoVAgQJ6U1MVXOaj8PK2l7WJ3RER9xtqwdhxkhw/edit?usp=sharing"",""อ่างทอง!J422"")"),0)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IFERROR(__xludf.DUMMYFUNCTION("IMPORTRANGE(""https://docs.google.com/spreadsheets/d/1SX6NBoVAgQJ6U1MVXOaj8PK2l7WJ3RER9xtqwdhxkhw/edit?usp=sharing"",""อ่างทอง!I423"")"),0)</f>
        <v>0</v>
      </c>
      <c r="J528" s="199">
        <f ca="1">IFERROR(__xludf.DUMMYFUNCTION("IMPORTRANGE(""https://docs.google.com/spreadsheets/d/1SX6NBoVAgQJ6U1MVXOaj8PK2l7WJ3RER9xtqwdhxkhw/edit?usp=sharing"",""อ่างทอง!J423"")"),0)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IFERROR(__xludf.DUMMYFUNCTION("IMPORTRANGE(""https://docs.google.com/spreadsheets/d/1SX6NBoVAgQJ6U1MVXOaj8PK2l7WJ3RER9xtqwdhxkhw/edit?usp=sharing"",""อ่างทอง!I424"")"),0)</f>
        <v>0</v>
      </c>
      <c r="J529" s="199">
        <f ca="1">IFERROR(__xludf.DUMMYFUNCTION("IMPORTRANGE(""https://docs.google.com/spreadsheets/d/1SX6NBoVAgQJ6U1MVXOaj8PK2l7WJ3RER9xtqwdhxkhw/edit?usp=sharing"",""อ่างทอง!J424"")"),0)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IFERROR(__xludf.DUMMYFUNCTION("IMPORTRANGE(""https://docs.google.com/spreadsheets/d/1SX6NBoVAgQJ6U1MVXOaj8PK2l7WJ3RER9xtqwdhxkhw/edit?usp=sharing"",""อ่างทอง!I425"")"),0)</f>
        <v>0</v>
      </c>
      <c r="J530" s="199">
        <f ca="1">IFERROR(__xludf.DUMMYFUNCTION("IMPORTRANGE(""https://docs.google.com/spreadsheets/d/1SX6NBoVAgQJ6U1MVXOaj8PK2l7WJ3RER9xtqwdhxkhw/edit?usp=sharing"",""อ่างทอง!J425"")"),0)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IFERROR(__xludf.DUMMYFUNCTION("IMPORTRANGE(""https://docs.google.com/spreadsheets/d/1SX6NBoVAgQJ6U1MVXOaj8PK2l7WJ3RER9xtqwdhxkhw/edit?usp=sharing"",""อ่างทอง!I426"")"),0)</f>
        <v>0</v>
      </c>
      <c r="J531" s="199">
        <f ca="1">IFERROR(__xludf.DUMMYFUNCTION("IMPORTRANGE(""https://docs.google.com/spreadsheets/d/1SX6NBoVAgQJ6U1MVXOaj8PK2l7WJ3RER9xtqwdhxkhw/edit?usp=sharing"",""อ่างทอง!J426"")"),0)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IFERROR(__xludf.DUMMYFUNCTION("IMPORTRANGE(""https://docs.google.com/spreadsheets/d/1SX6NBoVAgQJ6U1MVXOaj8PK2l7WJ3RER9xtqwdhxkhw/edit?usp=sharing"",""อ่างทอง!L429"")"),0)</f>
        <v>0</v>
      </c>
      <c r="M534" s="166"/>
      <c r="N534" s="170">
        <f ca="1">IFERROR(__xludf.DUMMYFUNCTION("IMPORTRANGE(""https://docs.google.com/spreadsheets/d/1SX6NBoVAgQJ6U1MVXOaj8PK2l7WJ3RER9xtqwdhxkhw/edit?usp=sharing"",""อ่างทอง!M429"")"),0)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IFERROR(__xludf.DUMMYFUNCTION("IMPORTRANGE(""https://docs.google.com/spreadsheets/d/1SX6NBoVAgQJ6U1MVXOaj8PK2l7WJ3RER9xtqwdhxkhw/edit?usp=sharing"",""อ่างทอง!L430"")"),24140)</f>
        <v>24140</v>
      </c>
      <c r="M535" s="167"/>
      <c r="N535" s="170">
        <f ca="1">IFERROR(__xludf.DUMMYFUNCTION("IMPORTRANGE(""https://docs.google.com/spreadsheets/d/1SX6NBoVAgQJ6U1MVXOaj8PK2l7WJ3RER9xtqwdhxkhw/edit?usp=sharing"",""อ่างทอง!M430"")"),5990)</f>
        <v>5990</v>
      </c>
      <c r="O535" s="170">
        <f t="shared" ca="1" si="118"/>
        <v>24.813587406793705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IFERROR(__xludf.DUMMYFUNCTION("IMPORTRANGE(""https://docs.google.com/spreadsheets/d/1SX6NBoVAgQJ6U1MVXOaj8PK2l7WJ3RER9xtqwdhxkhw/edit?usp=sharing"",""อ่างทอง!L431"")"),0)</f>
        <v>0</v>
      </c>
      <c r="M536" s="170"/>
      <c r="N536" s="170">
        <f ca="1">IFERROR(__xludf.DUMMYFUNCTION("IMPORTRANGE(""https://docs.google.com/spreadsheets/d/1SX6NBoVAgQJ6U1MVXOaj8PK2l7WJ3RER9xtqwdhxkhw/edit?usp=sharing"",""อ่างทอง!M431"")"),0)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IFERROR(__xludf.DUMMYFUNCTION("IMPORTRANGE(""https://docs.google.com/spreadsheets/d/1SX6NBoVAgQJ6U1MVXOaj8PK2l7WJ3RER9xtqwdhxkhw/edit?usp=sharing"",""อ่างทอง!L432"")"),24140)</f>
        <v>24140</v>
      </c>
      <c r="M537" s="170"/>
      <c r="N537" s="170">
        <f ca="1">IFERROR(__xludf.DUMMYFUNCTION("IMPORTRANGE(""https://docs.google.com/spreadsheets/d/1SX6NBoVAgQJ6U1MVXOaj8PK2l7WJ3RER9xtqwdhxkhw/edit?usp=sharing"",""อ่างทอง!M432"")"),5990)</f>
        <v>5990</v>
      </c>
      <c r="O537" s="170">
        <f t="shared" ca="1" si="118"/>
        <v>24.813587406793705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IFERROR(__xludf.DUMMYFUNCTION("IMPORTRANGE(""https://docs.google.com/spreadsheets/d/1SX6NBoVAgQJ6U1MVXOaj8PK2l7WJ3RER9xtqwdhxkhw/edit?usp=sharing"",""อ่างทอง!J438"")"),0)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IFERROR(__xludf.DUMMYFUNCTION("IMPORTRANGE(""https://docs.google.com/spreadsheets/d/1SX6NBoVAgQJ6U1MVXOaj8PK2l7WJ3RER9xtqwdhxkhw/edit?usp=sharing"",""อ่างทอง!J439"")"),1)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IFERROR(__xludf.DUMMYFUNCTION("IMPORTRANGE(""https://docs.google.com/spreadsheets/d/1SX6NBoVAgQJ6U1MVXOaj8PK2l7WJ3RER9xtqwdhxkhw/edit?usp=sharing"",""อ่างทอง!J440"")"),1)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IFERROR(__xludf.DUMMYFUNCTION("IMPORTRANGE(""https://docs.google.com/spreadsheets/d/1SX6NBoVAgQJ6U1MVXOaj8PK2l7WJ3RER9xtqwdhxkhw/edit?usp=sharing"",""อ่างทอง!J441"")"),1)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IFERROR(__xludf.DUMMYFUNCTION("IMPORTRANGE(""https://docs.google.com/spreadsheets/d/1SX6NBoVAgQJ6U1MVXOaj8PK2l7WJ3RER9xtqwdhxkhw/edit?usp=sharing"",""อ่างทอง!I442"")"),10)</f>
        <v>10</v>
      </c>
      <c r="J547" s="190">
        <f ca="1">IFERROR(__xludf.DUMMYFUNCTION("IMPORTRANGE(""https://docs.google.com/spreadsheets/d/1SX6NBoVAgQJ6U1MVXOaj8PK2l7WJ3RER9xtqwdhxkhw/edit?usp=sharing"",""อ่างทอง!J442"")"),10)</f>
        <v>10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IFERROR(__xludf.DUMMYFUNCTION("IMPORTRANGE(""https://docs.google.com/spreadsheets/d/1SX6NBoVAgQJ6U1MVXOaj8PK2l7WJ3RER9xtqwdhxkhw/edit?usp=sharing"",""อ่างทอง!J166"")"),0)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IFERROR(__xludf.DUMMYFUNCTION("IMPORTRANGE(""https://docs.google.com/spreadsheets/d/1SX6NBoVAgQJ6U1MVXOaj8PK2l7WJ3RER9xtqwdhxkhw/edit?usp=sharing"",""อ่างทอง!J444"")"),0)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IFERROR(__xludf.DUMMYFUNCTION("IMPORTRANGE(""https://docs.google.com/spreadsheets/d/1SX6NBoVAgQJ6U1MVXOaj8PK2l7WJ3RER9xtqwdhxkhw/edit?usp=sharing"",""อ่างทอง!L447"")"),0)</f>
        <v>0</v>
      </c>
      <c r="M552" s="166"/>
      <c r="N552" s="170">
        <f ca="1">IFERROR(__xludf.DUMMYFUNCTION("IMPORTRANGE(""https://docs.google.com/spreadsheets/d/1SX6NBoVAgQJ6U1MVXOaj8PK2l7WJ3RER9xtqwdhxkhw/edit?usp=sharing"",""อ่างทอง!M447"")"),0)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IFERROR(__xludf.DUMMYFUNCTION("IMPORTRANGE(""https://docs.google.com/spreadsheets/d/1SX6NBoVAgQJ6U1MVXOaj8PK2l7WJ3RER9xtqwdhxkhw/edit?usp=sharing"",""อ่างทอง!L448"")"),0)</f>
        <v>0</v>
      </c>
      <c r="M553" s="167"/>
      <c r="N553" s="170">
        <f ca="1">IFERROR(__xludf.DUMMYFUNCTION("IMPORTRANGE(""https://docs.google.com/spreadsheets/d/1SX6NBoVAgQJ6U1MVXOaj8PK2l7WJ3RER9xtqwdhxkhw/edit?usp=sharing"",""อ่างทอง!M448"")"),0)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IFERROR(__xludf.DUMMYFUNCTION("IMPORTRANGE(""https://docs.google.com/spreadsheets/d/1SX6NBoVAgQJ6U1MVXOaj8PK2l7WJ3RER9xtqwdhxkhw/edit?usp=sharing"",""อ่างทอง!L449"")"),0)</f>
        <v>0</v>
      </c>
      <c r="M554" s="170"/>
      <c r="N554" s="170">
        <f ca="1">IFERROR(__xludf.DUMMYFUNCTION("IMPORTRANGE(""https://docs.google.com/spreadsheets/d/1SX6NBoVAgQJ6U1MVXOaj8PK2l7WJ3RER9xtqwdhxkhw/edit?usp=sharing"",""อ่างทอง!M449"")"),0)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IFERROR(__xludf.DUMMYFUNCTION("IMPORTRANGE(""https://docs.google.com/spreadsheets/d/1SX6NBoVAgQJ6U1MVXOaj8PK2l7WJ3RER9xtqwdhxkhw/edit?usp=sharing"",""อ่างทอง!L450"")"),0)</f>
        <v>0</v>
      </c>
      <c r="M555" s="170"/>
      <c r="N555" s="170">
        <f ca="1">IFERROR(__xludf.DUMMYFUNCTION("IMPORTRANGE(""https://docs.google.com/spreadsheets/d/1SX6NBoVAgQJ6U1MVXOaj8PK2l7WJ3RER9xtqwdhxkhw/edit?usp=sharing"",""อ่างทอง!M450"")"),0)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IFERROR(__xludf.DUMMYFUNCTION("IMPORTRANGE(""https://docs.google.com/spreadsheets/d/1SX6NBoVAgQJ6U1MVXOaj8PK2l7WJ3RER9xtqwdhxkhw/edit?usp=sharing"",""อ่างทอง!M451"")"),0)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IFERROR(__xludf.DUMMYFUNCTION("IMPORTRANGE(""https://docs.google.com/spreadsheets/d/1SX6NBoVAgQJ6U1MVXOaj8PK2l7WJ3RER9xtqwdhxkhw/edit?usp=sharing"",""อ่างทอง!M452"")"),0)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IFERROR(__xludf.DUMMYFUNCTION("IMPORTRANGE(""https://docs.google.com/spreadsheets/d/1SX6NBoVAgQJ6U1MVXOaj8PK2l7WJ3RER9xtqwdhxkhw/edit?usp=sharing"",""อ่างทอง!M453"")"),0)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IFERROR(__xludf.DUMMYFUNCTION("IMPORTRANGE(""https://docs.google.com/spreadsheets/d/1SX6NBoVAgQJ6U1MVXOaj8PK2l7WJ3RER9xtqwdhxkhw/edit?usp=sharing"",""อ่างทอง!M454"")"),0)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IFERROR(__xludf.DUMMYFUNCTION("IMPORTRANGE(""https://docs.google.com/spreadsheets/d/1SX6NBoVAgQJ6U1MVXOaj8PK2l7WJ3RER9xtqwdhxkhw/edit?usp=sharing"",""อ่างทอง!I455"")"),0)</f>
        <v>0</v>
      </c>
      <c r="J560" s="164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IFERROR(__xludf.DUMMYFUNCTION("IMPORTRANGE(""https://docs.google.com/spreadsheets/d/1SX6NBoVAgQJ6U1MVXOaj8PK2l7WJ3RER9xtqwdhxkhw/edit?usp=sharing"",""อ่างทอง!I456"")"),0)</f>
        <v>0</v>
      </c>
      <c r="J561" s="205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IFERROR(__xludf.DUMMYFUNCTION("IMPORTRANGE(""https://docs.google.com/spreadsheets/d/1SX6NBoVAgQJ6U1MVXOaj8PK2l7WJ3RER9xtqwdhxkhw/edit?usp=sharing"",""อ่างทอง!I457"")"),0)</f>
        <v>0</v>
      </c>
      <c r="J562" s="205" t="str">
        <f ca="1">IFERROR(__xludf.DUMMYFUNCTION("IMPORTRANGE(""https://docs.google.com/spreadsheets/d/1SX6NBoVAgQJ6U1MVXOaj8PK2l7WJ3RER9xtqwdhxkhw/edit?usp=sharing"",""อ่างทอง!J457"")"),"")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IFERROR(__xludf.DUMMYFUNCTION("IMPORTRANGE(""https://docs.google.com/spreadsheets/d/1SX6NBoVAgQJ6U1MVXOaj8PK2l7WJ3RER9xtqwdhxkhw/edit?usp=sharing"",""อ่างทอง!I458"")"),0)</f>
        <v>0</v>
      </c>
      <c r="J563" s="189" t="str">
        <f ca="1">IFERROR(__xludf.DUMMYFUNCTION("IMPORTRANGE(""https://docs.google.com/spreadsheets/d/1SX6NBoVAgQJ6U1MVXOaj8PK2l7WJ3RER9xtqwdhxkhw/edit?usp=sharing"",""อ่างทอง!J458"")"),"")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IFERROR(__xludf.DUMMYFUNCTION("IMPORTRANGE(""https://docs.google.com/spreadsheets/d/1SX6NBoVAgQJ6U1MVXOaj8PK2l7WJ3RER9xtqwdhxkhw/edit?usp=sharing"",""อ่างทอง!J459"")"),27)</f>
        <v>27</v>
      </c>
      <c r="K564" s="372">
        <f t="shared" ca="1" si="121"/>
        <v>135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IFERROR(__xludf.DUMMYFUNCTION("IMPORTRANGE(""https://docs.google.com/spreadsheets/d/1SX6NBoVAgQJ6U1MVXOaj8PK2l7WJ3RER9xtqwdhxkhw/edit?usp=sharing"",""อ่างทอง!M459"")"),36994)</f>
        <v>36994</v>
      </c>
      <c r="O564" s="373">
        <f t="shared" ref="O564:O568" ca="1" si="122">+IF(L564&gt;0,N564*100/L564,0)</f>
        <v>31.393414799728447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IFERROR(__xludf.DUMMYFUNCTION("IMPORTRANGE(""https://docs.google.com/spreadsheets/d/1SX6NBoVAgQJ6U1MVXOaj8PK2l7WJ3RER9xtqwdhxkhw/edit?usp=sharing"",""อ่างทอง!L460"")"),0)</f>
        <v>0</v>
      </c>
      <c r="M565" s="166"/>
      <c r="N565" s="170">
        <f ca="1">IFERROR(__xludf.DUMMYFUNCTION("IMPORTRANGE(""https://docs.google.com/spreadsheets/d/1SX6NBoVAgQJ6U1MVXOaj8PK2l7WJ3RER9xtqwdhxkhw/edit?usp=sharing"",""อ่างทอง!M460"")"),0)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IFERROR(__xludf.DUMMYFUNCTION("IMPORTRANGE(""https://docs.google.com/spreadsheets/d/1SX6NBoVAgQJ6U1MVXOaj8PK2l7WJ3RER9xtqwdhxkhw/edit?usp=sharing"",""อ่างทอง!L461"")"),117840)</f>
        <v>117840</v>
      </c>
      <c r="M566" s="167"/>
      <c r="N566" s="170">
        <f ca="1">IFERROR(__xludf.DUMMYFUNCTION("IMPORTRANGE(""https://docs.google.com/spreadsheets/d/1SX6NBoVAgQJ6U1MVXOaj8PK2l7WJ3RER9xtqwdhxkhw/edit?usp=sharing"",""อ่างทอง!M461"")"),36994)</f>
        <v>36994</v>
      </c>
      <c r="O566" s="170">
        <f t="shared" ca="1" si="122"/>
        <v>31.393414799728447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IFERROR(__xludf.DUMMYFUNCTION("IMPORTRANGE(""https://docs.google.com/spreadsheets/d/1SX6NBoVAgQJ6U1MVXOaj8PK2l7WJ3RER9xtqwdhxkhw/edit?usp=sharing"",""อ่างทอง!L462"")"),0)</f>
        <v>0</v>
      </c>
      <c r="M567" s="170"/>
      <c r="N567" s="170">
        <f ca="1">IFERROR(__xludf.DUMMYFUNCTION("IMPORTRANGE(""https://docs.google.com/spreadsheets/d/1SX6NBoVAgQJ6U1MVXOaj8PK2l7WJ3RER9xtqwdhxkhw/edit?usp=sharing"",""อ่างทอง!M462"")"),0)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IFERROR(__xludf.DUMMYFUNCTION("IMPORTRANGE(""https://docs.google.com/spreadsheets/d/1SX6NBoVAgQJ6U1MVXOaj8PK2l7WJ3RER9xtqwdhxkhw/edit?usp=sharing"",""อ่างทอง!L463"")"),117840)</f>
        <v>117840</v>
      </c>
      <c r="M568" s="170"/>
      <c r="N568" s="170">
        <f ca="1">IFERROR(__xludf.DUMMYFUNCTION("IMPORTRANGE(""https://docs.google.com/spreadsheets/d/1SX6NBoVAgQJ6U1MVXOaj8PK2l7WJ3RER9xtqwdhxkhw/edit?usp=sharing"",""อ่างทอง!M463"")"),36994)</f>
        <v>36994</v>
      </c>
      <c r="O568" s="170">
        <f t="shared" ca="1" si="122"/>
        <v>31.393414799728447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IFERROR(__xludf.DUMMYFUNCTION("IMPORTRANGE(""https://docs.google.com/spreadsheets/d/1SX6NBoVAgQJ6U1MVXOaj8PK2l7WJ3RER9xtqwdhxkhw/edit?usp=sharing"",""อ่างทอง!M464"")"),0)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IFERROR(__xludf.DUMMYFUNCTION("IMPORTRANGE(""https://docs.google.com/spreadsheets/d/1SX6NBoVAgQJ6U1MVXOaj8PK2l7WJ3RER9xtqwdhxkhw/edit?usp=sharing"",""อ่างทอง!M465"")"),0)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IFERROR(__xludf.DUMMYFUNCTION("IMPORTRANGE(""https://docs.google.com/spreadsheets/d/1SX6NBoVAgQJ6U1MVXOaj8PK2l7WJ3RER9xtqwdhxkhw/edit?usp=sharing"",""อ่างทอง!M466"")"),36994)</f>
        <v>36994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IFERROR(__xludf.DUMMYFUNCTION("IMPORTRANGE(""https://docs.google.com/spreadsheets/d/1SX6NBoVAgQJ6U1MVXOaj8PK2l7WJ3RER9xtqwdhxkhw/edit?usp=sharing"",""อ่างทอง!J468"")"),27)</f>
        <v>27</v>
      </c>
      <c r="K573" s="203">
        <f ca="1">IF(I573&gt;0,J573*100/I573,0)</f>
        <v>135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IFERROR(__xludf.DUMMYFUNCTION("IMPORTRANGE(""https://docs.google.com/spreadsheets/d/1SX6NBoVAgQJ6U1MVXOaj8PK2l7WJ3RER9xtqwdhxkhw/edit?usp=sharing"",""อ่างทอง!I470"")"),0)</f>
        <v>0</v>
      </c>
      <c r="J575" s="199">
        <f ca="1">IFERROR(__xludf.DUMMYFUNCTION("IMPORTRANGE(""https://docs.google.com/spreadsheets/d/1SX6NBoVAgQJ6U1MVXOaj8PK2l7WJ3RER9xtqwdhxkhw/edit?usp=sharing"",""อ่างทอง!J470"")"),0)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IFERROR(__xludf.DUMMYFUNCTION("IMPORTRANGE(""https://docs.google.com/spreadsheets/d/1SX6NBoVAgQJ6U1MVXOaj8PK2l7WJ3RER9xtqwdhxkhw/edit?usp=sharing"",""อ่างทอง!I471"")"),0)</f>
        <v>0</v>
      </c>
      <c r="J576" s="199">
        <f ca="1">IFERROR(__xludf.DUMMYFUNCTION("IMPORTRANGE(""https://docs.google.com/spreadsheets/d/1SX6NBoVAgQJ6U1MVXOaj8PK2l7WJ3RER9xtqwdhxkhw/edit?usp=sharing"",""อ่างทอง!J471"")"),0)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IFERROR(__xludf.DUMMYFUNCTION("IMPORTRANGE(""https://docs.google.com/spreadsheets/d/1SX6NBoVAgQJ6U1MVXOaj8PK2l7WJ3RER9xtqwdhxkhw/edit?usp=sharing"",""อ่างทอง!I472"")"),0)</f>
        <v>0</v>
      </c>
      <c r="J577" s="190">
        <f ca="1">IFERROR(__xludf.DUMMYFUNCTION("IMPORTRANGE(""https://docs.google.com/spreadsheets/d/1SX6NBoVAgQJ6U1MVXOaj8PK2l7WJ3RER9xtqwdhxkhw/edit?usp=sharing"",""อ่างทอง!J472"")"),12)</f>
        <v>12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IFERROR(__xludf.DUMMYFUNCTION("IMPORTRANGE(""https://docs.google.com/spreadsheets/d/1SX6NBoVAgQJ6U1MVXOaj8PK2l7WJ3RER9xtqwdhxkhw/edit?usp=sharing"",""อ่างทอง!I473"")"),0)</f>
        <v>0</v>
      </c>
      <c r="J578" s="199">
        <f ca="1">IFERROR(__xludf.DUMMYFUNCTION("IMPORTRANGE(""https://docs.google.com/spreadsheets/d/1SX6NBoVAgQJ6U1MVXOaj8PK2l7WJ3RER9xtqwdhxkhw/edit?usp=sharing"",""อ่างทอง!J473"")"),0)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IFERROR(__xludf.DUMMYFUNCTION("IMPORTRANGE(""https://docs.google.com/spreadsheets/d/1SX6NBoVAgQJ6U1MVXOaj8PK2l7WJ3RER9xtqwdhxkhw/edit?usp=sharing"",""อ่างทอง!I474"")"),0)</f>
        <v>0</v>
      </c>
      <c r="J579" s="199">
        <f ca="1">IFERROR(__xludf.DUMMYFUNCTION("IMPORTRANGE(""https://docs.google.com/spreadsheets/d/1SX6NBoVAgQJ6U1MVXOaj8PK2l7WJ3RER9xtqwdhxkhw/edit?usp=sharing"",""อ่างทอง!J474"")"),15)</f>
        <v>15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IFERROR(__xludf.DUMMYFUNCTION("IMPORTRANGE(""https://docs.google.com/spreadsheets/d/1SX6NBoVAgQJ6U1MVXOaj8PK2l7WJ3RER9xtqwdhxkhw/edit?usp=sharing"",""อ่างทอง!L476"")"),0)</f>
        <v>0</v>
      </c>
      <c r="M581" s="166"/>
      <c r="N581" s="170">
        <f ca="1">IFERROR(__xludf.DUMMYFUNCTION("IMPORTRANGE(""https://docs.google.com/spreadsheets/d/1SX6NBoVAgQJ6U1MVXOaj8PK2l7WJ3RER9xtqwdhxkhw/edit?usp=sharing"",""อ่างทอง!M476"")"),0)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IFERROR(__xludf.DUMMYFUNCTION("IMPORTRANGE(""https://docs.google.com/spreadsheets/d/1SX6NBoVAgQJ6U1MVXOaj8PK2l7WJ3RER9xtqwdhxkhw/edit?usp=sharing"",""อ่างทอง!L477"")"),0)</f>
        <v>0</v>
      </c>
      <c r="M582" s="167"/>
      <c r="N582" s="170">
        <f ca="1">IFERROR(__xludf.DUMMYFUNCTION("IMPORTRANGE(""https://docs.google.com/spreadsheets/d/1SX6NBoVAgQJ6U1MVXOaj8PK2l7WJ3RER9xtqwdhxkhw/edit?usp=sharing"",""อ่างทอง!M477"")"),0)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IFERROR(__xludf.DUMMYFUNCTION("IMPORTRANGE(""https://docs.google.com/spreadsheets/d/1SX6NBoVAgQJ6U1MVXOaj8PK2l7WJ3RER9xtqwdhxkhw/edit?usp=sharing"",""อ่างทอง!L478"")"),0)</f>
        <v>0</v>
      </c>
      <c r="M583" s="170"/>
      <c r="N583" s="170">
        <f ca="1">IFERROR(__xludf.DUMMYFUNCTION("IMPORTRANGE(""https://docs.google.com/spreadsheets/d/1SX6NBoVAgQJ6U1MVXOaj8PK2l7WJ3RER9xtqwdhxkhw/edit?usp=sharing"",""อ่างทอง!M478"")"),0)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IFERROR(__xludf.DUMMYFUNCTION("IMPORTRANGE(""https://docs.google.com/spreadsheets/d/1SX6NBoVAgQJ6U1MVXOaj8PK2l7WJ3RER9xtqwdhxkhw/edit?usp=sharing"",""อ่างทอง!L479"")"),0)</f>
        <v>0</v>
      </c>
      <c r="M584" s="170"/>
      <c r="N584" s="170">
        <f ca="1">IFERROR(__xludf.DUMMYFUNCTION("IMPORTRANGE(""https://docs.google.com/spreadsheets/d/1SX6NBoVAgQJ6U1MVXOaj8PK2l7WJ3RER9xtqwdhxkhw/edit?usp=sharing"",""อ่างทอง!M479"")"),0)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IFERROR(__xludf.DUMMYFUNCTION("IMPORTRANGE(""https://docs.google.com/spreadsheets/d/1SX6NBoVAgQJ6U1MVXOaj8PK2l7WJ3RER9xtqwdhxkhw/edit?usp=sharing"",""อ่างทอง!M480"")"),0)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IFERROR(__xludf.DUMMYFUNCTION("IMPORTRANGE(""https://docs.google.com/spreadsheets/d/1SX6NBoVAgQJ6U1MVXOaj8PK2l7WJ3RER9xtqwdhxkhw/edit?usp=sharing"",""อ่างทอง!M481"")"),0)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IFERROR(__xludf.DUMMYFUNCTION("IMPORTRANGE(""https://docs.google.com/spreadsheets/d/1SX6NBoVAgQJ6U1MVXOaj8PK2l7WJ3RER9xtqwdhxkhw/edit?usp=sharing"",""อ่างทอง!M482"")"),0)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IFERROR(__xludf.DUMMYFUNCTION("IMPORTRANGE(""https://docs.google.com/spreadsheets/d/1SX6NBoVAgQJ6U1MVXOaj8PK2l7WJ3RER9xtqwdhxkhw/edit?usp=sharing"",""อ่างทอง!M483"")"),0)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IFERROR(__xludf.DUMMYFUNCTION("IMPORTRANGE(""https://docs.google.com/spreadsheets/d/1SX6NBoVAgQJ6U1MVXOaj8PK2l7WJ3RER9xtqwdhxkhw/edit?usp=sharing"",""อ่างทอง!I484"")"),0)</f>
        <v>0</v>
      </c>
      <c r="J589" s="189">
        <f ca="1">IFERROR(__xludf.DUMMYFUNCTION("IMPORTRANGE(""https://docs.google.com/spreadsheets/d/1SX6NBoVAgQJ6U1MVXOaj8PK2l7WJ3RER9xtqwdhxkhw/edit?usp=sharing"",""อ่างทอง!J484"")"),0)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9">
        <f ca="1">IFERROR(__xludf.DUMMYFUNCTION("IMPORTRANGE(""https://docs.google.com/spreadsheets/d/1SX6NBoVAgQJ6U1MVXOaj8PK2l7WJ3RER9xtqwdhxkhw/edit?usp=sharing"",""อ่างทอง!J485"")"),0)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IFERROR(__xludf.DUMMYFUNCTION("IMPORTRANGE(""https://docs.google.com/spreadsheets/d/1SX6NBoVAgQJ6U1MVXOaj8PK2l7WJ3RER9xtqwdhxkhw/edit?usp=sharing"",""อ่างทอง!I486"")"),0)</f>
        <v>0</v>
      </c>
      <c r="J591" s="189">
        <f ca="1">IFERROR(__xludf.DUMMYFUNCTION("IMPORTRANGE(""https://docs.google.com/spreadsheets/d/1SX6NBoVAgQJ6U1MVXOaj8PK2l7WJ3RER9xtqwdhxkhw/edit?usp=sharing"",""อ่างทอง!J486"")"),0)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9">
        <f ca="1">IFERROR(__xludf.DUMMYFUNCTION("IMPORTRANGE(""https://docs.google.com/spreadsheets/d/1SX6NBoVAgQJ6U1MVXOaj8PK2l7WJ3RER9xtqwdhxkhw/edit?usp=sharing"",""อ่างทอง!J487"")"),0)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IFERROR(__xludf.DUMMYFUNCTION("IMPORTRANGE(""https://docs.google.com/spreadsheets/d/1SX6NBoVAgQJ6U1MVXOaj8PK2l7WJ3RER9xtqwdhxkhw/edit?usp=sharing"",""อ่างทอง!I488"")"),0)</f>
        <v>0</v>
      </c>
      <c r="J593" s="189">
        <f ca="1">IFERROR(__xludf.DUMMYFUNCTION("IMPORTRANGE(""https://docs.google.com/spreadsheets/d/1SX6NBoVAgQJ6U1MVXOaj8PK2l7WJ3RER9xtqwdhxkhw/edit?usp=sharing"",""อ่างทอง!J488"")"),0)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9">
        <f ca="1">IFERROR(__xludf.DUMMYFUNCTION("IMPORTRANGE(""https://docs.google.com/spreadsheets/d/1SX6NBoVAgQJ6U1MVXOaj8PK2l7WJ3RER9xtqwdhxkhw/edit?usp=sharing"",""อ่างทอง!J489"")"),0)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IFERROR(__xludf.DUMMYFUNCTION("IMPORTRANGE(""https://docs.google.com/spreadsheets/d/1SX6NBoVAgQJ6U1MVXOaj8PK2l7WJ3RER9xtqwdhxkhw/edit?usp=sharing"",""อ่างทอง!I490"")"),0)</f>
        <v>0</v>
      </c>
      <c r="J595" s="189">
        <f ca="1">IFERROR(__xludf.DUMMYFUNCTION("IMPORTRANGE(""https://docs.google.com/spreadsheets/d/1SX6NBoVAgQJ6U1MVXOaj8PK2l7WJ3RER9xtqwdhxkhw/edit?usp=sharing"",""อ่างทอง!J490"")"),0)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7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IFERROR(__xludf.DUMMYFUNCTION("IMPORTRANGE(""https://docs.google.com/spreadsheets/d/1SX6NBoVAgQJ6U1MVXOaj8PK2l7WJ3RER9xtqwdhxkhw/edit?usp=sharing"",""อ่างทอง!L493"")"),0)</f>
        <v>0</v>
      </c>
      <c r="M598" s="166"/>
      <c r="N598" s="170">
        <f ca="1">IFERROR(__xludf.DUMMYFUNCTION("IMPORTRANGE(""https://docs.google.com/spreadsheets/d/1SX6NBoVAgQJ6U1MVXOaj8PK2l7WJ3RER9xtqwdhxkhw/edit?usp=sharing"",""อ่างทอง!M493"")"),0)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IFERROR(__xludf.DUMMYFUNCTION("IMPORTRANGE(""https://docs.google.com/spreadsheets/d/1SX6NBoVAgQJ6U1MVXOaj8PK2l7WJ3RER9xtqwdhxkhw/edit?usp=sharing"",""อ่างทอง!L494"")"),10800)</f>
        <v>10800</v>
      </c>
      <c r="M599" s="167"/>
      <c r="N599" s="170">
        <f ca="1">IFERROR(__xludf.DUMMYFUNCTION("IMPORTRANGE(""https://docs.google.com/spreadsheets/d/1SX6NBoVAgQJ6U1MVXOaj8PK2l7WJ3RER9xtqwdhxkhw/edit?usp=sharing"",""อ่างทอง!M494"")"),1170)</f>
        <v>1170</v>
      </c>
      <c r="O599" s="170">
        <f t="shared" ca="1" si="126"/>
        <v>10.833333333333334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IFERROR(__xludf.DUMMYFUNCTION("IMPORTRANGE(""https://docs.google.com/spreadsheets/d/1SX6NBoVAgQJ6U1MVXOaj8PK2l7WJ3RER9xtqwdhxkhw/edit?usp=sharing"",""อ่างทอง!L495"")"),0)</f>
        <v>0</v>
      </c>
      <c r="M600" s="170"/>
      <c r="N600" s="170">
        <f ca="1">IFERROR(__xludf.DUMMYFUNCTION("IMPORTRANGE(""https://docs.google.com/spreadsheets/d/1SX6NBoVAgQJ6U1MVXOaj8PK2l7WJ3RER9xtqwdhxkhw/edit?usp=sharing"",""อ่างทอง!M495"")"),0)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IFERROR(__xludf.DUMMYFUNCTION("IMPORTRANGE(""https://docs.google.com/spreadsheets/d/1SX6NBoVAgQJ6U1MVXOaj8PK2l7WJ3RER9xtqwdhxkhw/edit?usp=sharing"",""อ่างทอง!L496"")"),10800)</f>
        <v>10800</v>
      </c>
      <c r="M601" s="170"/>
      <c r="N601" s="170">
        <f ca="1">IFERROR(__xludf.DUMMYFUNCTION("IMPORTRANGE(""https://docs.google.com/spreadsheets/d/1SX6NBoVAgQJ6U1MVXOaj8PK2l7WJ3RER9xtqwdhxkhw/edit?usp=sharing"",""อ่างทอง!M496"")"),1170)</f>
        <v>1170</v>
      </c>
      <c r="O601" s="170">
        <f t="shared" ca="1" si="126"/>
        <v>10.833333333333334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IFERROR(__xludf.DUMMYFUNCTION("IMPORTRANGE(""https://docs.google.com/spreadsheets/d/1SX6NBoVAgQJ6U1MVXOaj8PK2l7WJ3RER9xtqwdhxkhw/edit?usp=sharing"",""อ่างทอง!M497"")"),0)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IFERROR(__xludf.DUMMYFUNCTION("IMPORTRANGE(""https://docs.google.com/spreadsheets/d/1SX6NBoVAgQJ6U1MVXOaj8PK2l7WJ3RER9xtqwdhxkhw/edit?usp=sharing"",""อ่างทอง!M498"")"),0)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IFERROR(__xludf.DUMMYFUNCTION("IMPORTRANGE(""https://docs.google.com/spreadsheets/d/1SX6NBoVAgQJ6U1MVXOaj8PK2l7WJ3RER9xtqwdhxkhw/edit?usp=sharing"",""อ่างทอง!J502"")"),0)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IFERROR(__xludf.DUMMYFUNCTION("IMPORTRANGE(""https://docs.google.com/spreadsheets/d/1SX6NBoVAgQJ6U1MVXOaj8PK2l7WJ3RER9xtqwdhxkhw/edit?usp=sharing"",""อ่างทอง!J503"")"),1)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IFERROR(__xludf.DUMMYFUNCTION("IMPORTRANGE(""https://docs.google.com/spreadsheets/d/1SX6NBoVAgQJ6U1MVXOaj8PK2l7WJ3RER9xtqwdhxkhw/edit?usp=sharing"",""อ่างทอง!I506"")"),80)</f>
        <v>80</v>
      </c>
      <c r="J611" s="164">
        <f ca="1">IFERROR(__xludf.DUMMYFUNCTION("IMPORTRANGE(""https://docs.google.com/spreadsheets/d/1SX6NBoVAgQJ6U1MVXOaj8PK2l7WJ3RER9xtqwdhxkhw/edit?usp=sharing"",""อ่างทอง!J506"")"),0)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IFERROR(__xludf.DUMMYFUNCTION("IMPORTRANGE(""https://docs.google.com/spreadsheets/d/1SX6NBoVAgQJ6U1MVXOaj8PK2l7WJ3RER9xtqwdhxkhw/edit?usp=sharing"",""อ่างทอง!I507"")"),0)</f>
        <v>0</v>
      </c>
      <c r="J612" s="199">
        <f ca="1">IFERROR(__xludf.DUMMYFUNCTION("IMPORTRANGE(""https://docs.google.com/spreadsheets/d/1SX6NBoVAgQJ6U1MVXOaj8PK2l7WJ3RER9xtqwdhxkhw/edit?usp=sharing"",""อ่างทอง!J507"")"),0)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IFERROR(__xludf.DUMMYFUNCTION("IMPORTRANGE(""https://docs.google.com/spreadsheets/d/1SX6NBoVAgQJ6U1MVXOaj8PK2l7WJ3RER9xtqwdhxkhw/edit?usp=sharing"",""อ่างทอง!I508"")"),0)</f>
        <v>0</v>
      </c>
      <c r="J613" s="199">
        <f ca="1">IFERROR(__xludf.DUMMYFUNCTION("IMPORTRANGE(""https://docs.google.com/spreadsheets/d/1SX6NBoVAgQJ6U1MVXOaj8PK2l7WJ3RER9xtqwdhxkhw/edit?usp=sharing"",""อ่างทอง!J508"")"),0)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IFERROR(__xludf.DUMMYFUNCTION("IMPORTRANGE(""https://docs.google.com/spreadsheets/d/1SX6NBoVAgQJ6U1MVXOaj8PK2l7WJ3RER9xtqwdhxkhw/edit?usp=sharing"",""อ่างทอง!I509"")"),0)</f>
        <v>0</v>
      </c>
      <c r="J614" s="199">
        <f ca="1">IFERROR(__xludf.DUMMYFUNCTION("IMPORTRANGE(""https://docs.google.com/spreadsheets/d/1SX6NBoVAgQJ6U1MVXOaj8PK2l7WJ3RER9xtqwdhxkhw/edit?usp=sharing"",""อ่างทอง!J509"")"),0)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IFERROR(__xludf.DUMMYFUNCTION("IMPORTRANGE(""https://docs.google.com/spreadsheets/d/1SX6NBoVAgQJ6U1MVXOaj8PK2l7WJ3RER9xtqwdhxkhw/edit?usp=sharing"",""อ่างทอง!I510"")"),0)</f>
        <v>0</v>
      </c>
      <c r="J615" s="199">
        <f ca="1">IFERROR(__xludf.DUMMYFUNCTION("IMPORTRANGE(""https://docs.google.com/spreadsheets/d/1SX6NBoVAgQJ6U1MVXOaj8PK2l7WJ3RER9xtqwdhxkhw/edit?usp=sharing"",""อ่างทอง!J510"")"),0)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IFERROR(__xludf.DUMMYFUNCTION("IMPORTRANGE(""https://docs.google.com/spreadsheets/d/1SX6NBoVAgQJ6U1MVXOaj8PK2l7WJ3RER9xtqwdhxkhw/edit?usp=sharing"",""อ่างทอง!I511"")"),0)</f>
        <v>0</v>
      </c>
      <c r="J616" s="199">
        <f ca="1">IFERROR(__xludf.DUMMYFUNCTION("IMPORTRANGE(""https://docs.google.com/spreadsheets/d/1SX6NBoVAgQJ6U1MVXOaj8PK2l7WJ3RER9xtqwdhxkhw/edit?usp=sharing"",""อ่างทอง!J511"")"),0)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IFERROR(__xludf.DUMMYFUNCTION("IMPORTRANGE(""https://docs.google.com/spreadsheets/d/1SX6NBoVAgQJ6U1MVXOaj8PK2l7WJ3RER9xtqwdhxkhw/edit?usp=sharing"",""อ่างทอง!I512"")"),0)</f>
        <v>0</v>
      </c>
      <c r="J617" s="189">
        <f ca="1">IFERROR(__xludf.DUMMYFUNCTION("IMPORTRANGE(""https://docs.google.com/spreadsheets/d/1SX6NBoVAgQJ6U1MVXOaj8PK2l7WJ3RER9xtqwdhxkhw/edit?usp=sharing"",""อ่างทอง!J512"")"),0)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IFERROR(__xludf.DUMMYFUNCTION("IMPORTRANGE(""https://docs.google.com/spreadsheets/d/1SX6NBoVAgQJ6U1MVXOaj8PK2l7WJ3RER9xtqwdhxkhw/edit?usp=sharing"",""อ่างทอง!I513"")"),0)</f>
        <v>0</v>
      </c>
      <c r="J618" s="190">
        <f ca="1">IFERROR(__xludf.DUMMYFUNCTION("IMPORTRANGE(""https://docs.google.com/spreadsheets/d/1SX6NBoVAgQJ6U1MVXOaj8PK2l7WJ3RER9xtqwdhxkhw/edit?usp=sharing"",""อ่างทอง!J513"")"),0)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IFERROR(__xludf.DUMMYFUNCTION("IMPORTRANGE(""https://docs.google.com/spreadsheets/d/1SX6NBoVAgQJ6U1MVXOaj8PK2l7WJ3RER9xtqwdhxkhw/edit?usp=sharing"",""อ่างทอง!I514"")"),0)</f>
        <v>0</v>
      </c>
      <c r="J619" s="190">
        <f ca="1">IFERROR(__xludf.DUMMYFUNCTION("IMPORTRANGE(""https://docs.google.com/spreadsheets/d/1SX6NBoVAgQJ6U1MVXOaj8PK2l7WJ3RER9xtqwdhxkhw/edit?usp=sharing"",""อ่างทอง!J514"")"),0)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IFERROR(__xludf.DUMMYFUNCTION("IMPORTRANGE(""https://docs.google.com/spreadsheets/d/1SX6NBoVAgQJ6U1MVXOaj8PK2l7WJ3RER9xtqwdhxkhw/edit?usp=sharing"",""อ่างทอง!I515"")"),293)</f>
        <v>293</v>
      </c>
      <c r="J620" s="204">
        <f ca="1">IFERROR(__xludf.DUMMYFUNCTION("IMPORTRANGE(""https://docs.google.com/spreadsheets/d/1SX6NBoVAgQJ6U1MVXOaj8PK2l7WJ3RER9xtqwdhxkhw/edit?usp=sharing"",""อ่างทอง!J515"")"),0)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IFERROR(__xludf.DUMMYFUNCTION("IMPORTRANGE(""https://docs.google.com/spreadsheets/d/1SX6NBoVAgQJ6U1MVXOaj8PK2l7WJ3RER9xtqwdhxkhw/edit?usp=sharing"",""อ่างทอง!I516"")"),0)</f>
        <v>0</v>
      </c>
      <c r="J621" s="204">
        <f ca="1">IFERROR(__xludf.DUMMYFUNCTION("IMPORTRANGE(""https://docs.google.com/spreadsheets/d/1SX6NBoVAgQJ6U1MVXOaj8PK2l7WJ3RER9xtqwdhxkhw/edit?usp=sharing"",""อ่างทอง!J516"")"),0)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IFERROR(__xludf.DUMMYFUNCTION("IMPORTRANGE(""https://docs.google.com/spreadsheets/d/1SX6NBoVAgQJ6U1MVXOaj8PK2l7WJ3RER9xtqwdhxkhw/edit?usp=sharing"",""อ่างทอง!I517"")"),0)</f>
        <v>0</v>
      </c>
      <c r="J622" s="190">
        <f ca="1">IFERROR(__xludf.DUMMYFUNCTION("IMPORTRANGE(""https://docs.google.com/spreadsheets/d/1SX6NBoVAgQJ6U1MVXOaj8PK2l7WJ3RER9xtqwdhxkhw/edit?usp=sharing"",""อ่างทอง!J517"")"),0)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IFERROR(__xludf.DUMMYFUNCTION("IMPORTRANGE(""https://docs.google.com/spreadsheets/d/1SX6NBoVAgQJ6U1MVXOaj8PK2l7WJ3RER9xtqwdhxkhw/edit?usp=sharing"",""อ่างทอง!I518"")"),0)</f>
        <v>0</v>
      </c>
      <c r="J623" s="190">
        <f ca="1">IFERROR(__xludf.DUMMYFUNCTION("IMPORTRANGE(""https://docs.google.com/spreadsheets/d/1SX6NBoVAgQJ6U1MVXOaj8PK2l7WJ3RER9xtqwdhxkhw/edit?usp=sharing"",""อ่างทอง!J518"")"),0)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IFERROR(__xludf.DUMMYFUNCTION("IMPORTRANGE(""https://docs.google.com/spreadsheets/d/1SX6NBoVAgQJ6U1MVXOaj8PK2l7WJ3RER9xtqwdhxkhw/edit?usp=sharing"",""อ่างทอง!I519"")"),0)</f>
        <v>0</v>
      </c>
      <c r="J624" s="189">
        <f ca="1">IFERROR(__xludf.DUMMYFUNCTION("IMPORTRANGE(""https://docs.google.com/spreadsheets/d/1SX6NBoVAgQJ6U1MVXOaj8PK2l7WJ3RER9xtqwdhxkhw/edit?usp=sharing"",""อ่างทอง!J519"")"),0)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IFERROR(__xludf.DUMMYFUNCTION("IMPORTRANGE(""https://docs.google.com/spreadsheets/d/1SX6NBoVAgQJ6U1MVXOaj8PK2l7WJ3RER9xtqwdhxkhw/edit?usp=sharing"",""อ่างทอง!I520"")"),0)</f>
        <v>0</v>
      </c>
      <c r="J625" s="190">
        <f ca="1">IFERROR(__xludf.DUMMYFUNCTION("IMPORTRANGE(""https://docs.google.com/spreadsheets/d/1SX6NBoVAgQJ6U1MVXOaj8PK2l7WJ3RER9xtqwdhxkhw/edit?usp=sharing"",""อ่างทอง!J520"")"),0)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IFERROR(__xludf.DUMMYFUNCTION("IMPORTRANGE(""https://docs.google.com/spreadsheets/d/1SX6NBoVAgQJ6U1MVXOaj8PK2l7WJ3RER9xtqwdhxkhw/edit?usp=sharing"",""อ่างทอง!I521"")"),0)</f>
        <v>0</v>
      </c>
      <c r="J626" s="190">
        <f ca="1">IFERROR(__xludf.DUMMYFUNCTION("IMPORTRANGE(""https://docs.google.com/spreadsheets/d/1SX6NBoVAgQJ6U1MVXOaj8PK2l7WJ3RER9xtqwdhxkhw/edit?usp=sharing"",""อ่างทอง!J521"")"),0)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IFERROR(__xludf.DUMMYFUNCTION("IMPORTRANGE(""https://docs.google.com/spreadsheets/d/1SX6NBoVAgQJ6U1MVXOaj8PK2l7WJ3RER9xtqwdhxkhw/edit?usp=sharing"",""อ่างทอง!I523"")"),510000)</f>
        <v>510000</v>
      </c>
      <c r="J628" s="341">
        <f ca="1">IFERROR(__xludf.DUMMYFUNCTION("IMPORTRANGE(""https://docs.google.com/spreadsheets/d/1SX6NBoVAgQJ6U1MVXOaj8PK2l7WJ3RER9xtqwdhxkhw/edit?usp=sharing"",""อ่างทอง!J523"")"),30000)</f>
        <v>30000</v>
      </c>
      <c r="K628" s="342">
        <f t="shared" ref="K628:K635" ca="1" si="129">IF(I628&gt;0,J628*100/I628,0)</f>
        <v>5.882352941176471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IFERROR(__xludf.DUMMYFUNCTION("IMPORTRANGE(""https://docs.google.com/spreadsheets/d/1SX6NBoVAgQJ6U1MVXOaj8PK2l7WJ3RER9xtqwdhxkhw/edit?usp=sharing"",""อ่างทอง!I524"")"),18)</f>
        <v>18</v>
      </c>
      <c r="J629" s="341">
        <f ca="1">IFERROR(__xludf.DUMMYFUNCTION("IMPORTRANGE(""https://docs.google.com/spreadsheets/d/1SX6NBoVAgQJ6U1MVXOaj8PK2l7WJ3RER9xtqwdhxkhw/edit?usp=sharing"",""อ่างทอง!J524"")"),1)</f>
        <v>1</v>
      </c>
      <c r="K629" s="342">
        <f t="shared" ca="1" si="129"/>
        <v>5.5555555555555554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IFERROR(__xludf.DUMMYFUNCTION("IMPORTRANGE(""https://docs.google.com/spreadsheets/d/1SX6NBoVAgQJ6U1MVXOaj8PK2l7WJ3RER9xtqwdhxkhw/edit?usp=sharing"",""อ่างทอง!I525"")"),169583.93)</f>
        <v>169583.93</v>
      </c>
      <c r="J630" s="341">
        <f ca="1">IFERROR(__xludf.DUMMYFUNCTION("IMPORTRANGE(""https://docs.google.com/spreadsheets/d/1SX6NBoVAgQJ6U1MVXOaj8PK2l7WJ3RER9xtqwdhxkhw/edit?usp=sharing"",""อ่างทอง!J525"")"),110233.6)</f>
        <v>110233.60000000001</v>
      </c>
      <c r="K630" s="342">
        <f t="shared" ca="1" si="129"/>
        <v>65.002385544432187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IFERROR(__xludf.DUMMYFUNCTION("IMPORTRANGE(""https://docs.google.com/spreadsheets/d/1SX6NBoVAgQJ6U1MVXOaj8PK2l7WJ3RER9xtqwdhxkhw/edit?usp=sharing"",""อ่างทอง!I526"")"),6)</f>
        <v>6</v>
      </c>
      <c r="J631" s="341">
        <f ca="1">IFERROR(__xludf.DUMMYFUNCTION("IMPORTRANGE(""https://docs.google.com/spreadsheets/d/1SX6NBoVAgQJ6U1MVXOaj8PK2l7WJ3RER9xtqwdhxkhw/edit?usp=sharing"",""อ่างทอง!J526"")"),6)</f>
        <v>6</v>
      </c>
      <c r="K631" s="342">
        <f t="shared" ca="1" si="129"/>
        <v>100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IFERROR(__xludf.DUMMYFUNCTION("IMPORTRANGE(""https://docs.google.com/spreadsheets/d/1SX6NBoVAgQJ6U1MVXOaj8PK2l7WJ3RER9xtqwdhxkhw/edit?usp=sharing"",""อ่างทอง!I527"")"),39445.31)</f>
        <v>39445.31</v>
      </c>
      <c r="J632" s="341">
        <f ca="1">IFERROR(__xludf.DUMMYFUNCTION("IMPORTRANGE(""https://docs.google.com/spreadsheets/d/1SX6NBoVAgQJ6U1MVXOaj8PK2l7WJ3RER9xtqwdhxkhw/edit?usp=sharing"",""อ่างทอง!J527"")"),11888.65)</f>
        <v>11888.65</v>
      </c>
      <c r="K632" s="342">
        <f t="shared" ca="1" si="129"/>
        <v>30.139578063906711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IFERROR(__xludf.DUMMYFUNCTION("IMPORTRANGE(""https://docs.google.com/spreadsheets/d/1SX6NBoVAgQJ6U1MVXOaj8PK2l7WJ3RER9xtqwdhxkhw/edit?usp=sharing"",""อ่างทอง!I528"")"),52)</f>
        <v>52</v>
      </c>
      <c r="J633" s="341">
        <f ca="1">IFERROR(__xludf.DUMMYFUNCTION("IMPORTRANGE(""https://docs.google.com/spreadsheets/d/1SX6NBoVAgQJ6U1MVXOaj8PK2l7WJ3RER9xtqwdhxkhw/edit?usp=sharing"",""อ่างทอง!J528"")"),17)</f>
        <v>17</v>
      </c>
      <c r="K633" s="342">
        <f t="shared" ca="1" si="129"/>
        <v>32.692307692307693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IFERROR(__xludf.DUMMYFUNCTION("IMPORTRANGE(""https://docs.google.com/spreadsheets/d/1SX6NBoVAgQJ6U1MVXOaj8PK2l7WJ3RER9xtqwdhxkhw/edit?usp=sharing"",""อ่างทอง!I529"")"),900000)</f>
        <v>900000</v>
      </c>
      <c r="J634" s="341">
        <f ca="1">IFERROR(__xludf.DUMMYFUNCTION("IMPORTRANGE(""https://docs.google.com/spreadsheets/d/1SX6NBoVAgQJ6U1MVXOaj8PK2l7WJ3RER9xtqwdhxkhw/edit?usp=sharing"",""อ่างทอง!J529"")"),0)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IFERROR(__xludf.DUMMYFUNCTION("IMPORTRANGE(""https://docs.google.com/spreadsheets/d/1SX6NBoVAgQJ6U1MVXOaj8PK2l7WJ3RER9xtqwdhxkhw/edit?usp=sharing"",""อ่างทอง!I530"")"),30)</f>
        <v>30</v>
      </c>
      <c r="J635" s="504">
        <f ca="1">IFERROR(__xludf.DUMMYFUNCTION("IMPORTRANGE(""https://docs.google.com/spreadsheets/d/1SX6NBoVAgQJ6U1MVXOaj8PK2l7WJ3RER9xtqwdhxkhw/edit?usp=sharing"",""อ่างทอง!J530"")"),0)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4257812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240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4127768</v>
      </c>
      <c r="M8" s="23">
        <f t="shared" ca="1" si="0"/>
        <v>1820897</v>
      </c>
      <c r="N8" s="23">
        <f t="shared" ca="1" si="0"/>
        <v>1433666</v>
      </c>
      <c r="O8" s="22">
        <f t="shared" ref="O8:O16" ca="1" si="1">IF(L8&gt;0,N8*100/L8,0)</f>
        <v>34.732233013095694</v>
      </c>
      <c r="P8" s="22">
        <f t="shared" ref="P8:P16" ca="1" si="2">IF(M8&gt;0,N8*100/M8,0)</f>
        <v>78.734052502695107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4127768</v>
      </c>
      <c r="M10" s="30">
        <f t="shared" ca="1" si="4"/>
        <v>1820897</v>
      </c>
      <c r="N10" s="30">
        <f t="shared" ca="1" si="4"/>
        <v>1433666</v>
      </c>
      <c r="O10" s="29">
        <f t="shared" ca="1" si="1"/>
        <v>34.732233013095694</v>
      </c>
      <c r="P10" s="29">
        <f t="shared" ca="1" si="2"/>
        <v>78.734052502695107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3837668</v>
      </c>
      <c r="M12" s="38">
        <f t="shared" ca="1" si="6"/>
        <v>1530797</v>
      </c>
      <c r="N12" s="38">
        <f t="shared" ca="1" si="6"/>
        <v>1143566</v>
      </c>
      <c r="O12" s="38">
        <f t="shared" ca="1" si="1"/>
        <v>29.798460940341894</v>
      </c>
      <c r="P12" s="38">
        <f t="shared" ca="1" si="2"/>
        <v>74.70396140049921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2343368</v>
      </c>
      <c r="M14" s="38">
        <f t="shared" si="8"/>
        <v>0</v>
      </c>
      <c r="N14" s="38">
        <f t="shared" ca="1" si="8"/>
        <v>171909</v>
      </c>
      <c r="O14" s="38">
        <f t="shared" ca="1" si="1"/>
        <v>7.335979666872638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3095545</v>
      </c>
      <c r="M18" s="23">
        <f t="shared" ca="1" si="11"/>
        <v>1820897</v>
      </c>
      <c r="N18" s="23">
        <f t="shared" ca="1" si="11"/>
        <v>1261757</v>
      </c>
      <c r="O18" s="22">
        <f t="shared" ref="O18:O20" ca="1" si="12">IF(L18&gt;0,N18*100/L18,0)</f>
        <v>40.76041537112205</v>
      </c>
      <c r="P18" s="22">
        <f t="shared" ref="P18:P26" ca="1" si="13">IF(M18&gt;0,N18*100/M18,0)</f>
        <v>69.293156065389752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3095545</v>
      </c>
      <c r="M20" s="30">
        <f t="shared" ca="1" si="15"/>
        <v>1820897</v>
      </c>
      <c r="N20" s="30">
        <f t="shared" ca="1" si="15"/>
        <v>1261757</v>
      </c>
      <c r="O20" s="29">
        <f t="shared" ca="1" si="12"/>
        <v>40.76041537112205</v>
      </c>
      <c r="P20" s="29">
        <f t="shared" ca="1" si="13"/>
        <v>69.293156065389752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2805445</v>
      </c>
      <c r="M22" s="41">
        <f t="shared" ca="1" si="18"/>
        <v>1530797</v>
      </c>
      <c r="N22" s="38">
        <f t="shared" ca="1" si="18"/>
        <v>971657</v>
      </c>
      <c r="O22" s="38">
        <f t="shared" ca="1" si="17"/>
        <v>34.634683624166577</v>
      </c>
      <c r="P22" s="38">
        <f t="shared" ca="1" si="13"/>
        <v>63.473928940284047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1311145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1032223</v>
      </c>
      <c r="M28" s="23">
        <f t="shared" si="23"/>
        <v>0</v>
      </c>
      <c r="N28" s="23">
        <f t="shared" ca="1" si="23"/>
        <v>171909</v>
      </c>
      <c r="O28" s="22">
        <f t="shared" ref="O28:O30" ca="1" si="24">IF(L28&gt;0,N28*100/L28,0)</f>
        <v>16.654250099058054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1032223</v>
      </c>
      <c r="M30" s="30">
        <f t="shared" si="27"/>
        <v>0</v>
      </c>
      <c r="N30" s="30">
        <f t="shared" ca="1" si="27"/>
        <v>171909</v>
      </c>
      <c r="O30" s="29">
        <f t="shared" ca="1" si="24"/>
        <v>16.654250099058054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1032223</v>
      </c>
      <c r="M32" s="38">
        <f t="shared" si="30"/>
        <v>0</v>
      </c>
      <c r="N32" s="38">
        <f t="shared" ca="1" si="30"/>
        <v>171909</v>
      </c>
      <c r="O32" s="38">
        <f t="shared" ca="1" si="29"/>
        <v>16.654250099058054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1032223</v>
      </c>
      <c r="M34" s="38">
        <f t="shared" si="32"/>
        <v>0</v>
      </c>
      <c r="N34" s="38">
        <f t="shared" ca="1" si="32"/>
        <v>171909</v>
      </c>
      <c r="O34" s="38">
        <f t="shared" ca="1" si="29"/>
        <v>16.654250099058054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3095545</v>
      </c>
      <c r="M37" s="54">
        <f t="shared" ca="1" si="33"/>
        <v>1820897</v>
      </c>
      <c r="N37" s="54">
        <f t="shared" ca="1" si="33"/>
        <v>1261757</v>
      </c>
      <c r="O37" s="55">
        <f t="shared" ca="1" si="29"/>
        <v>40.76041537112205</v>
      </c>
      <c r="P37" s="55">
        <f t="shared" ca="1" si="25"/>
        <v>69.293156065389752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307100</v>
      </c>
      <c r="N41" s="78">
        <f t="shared" ca="1" si="34"/>
        <v>227486</v>
      </c>
      <c r="O41" s="77">
        <f t="shared" ref="O41:O43" ca="1" si="35">IF(L41&gt;0,N41*100/L41,0)</f>
        <v>37.043803940726264</v>
      </c>
      <c r="P41" s="77">
        <f t="shared" ref="P41:P43" ca="1" si="36">IF(M41&gt;0,N41*100/M41,0)</f>
        <v>74.075545424943016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307100</v>
      </c>
      <c r="N43" s="78">
        <f t="shared" ca="1" si="38"/>
        <v>227486</v>
      </c>
      <c r="O43" s="77">
        <f t="shared" ca="1" si="35"/>
        <v>37.043803940726264</v>
      </c>
      <c r="P43" s="77">
        <f t="shared" ca="1" si="36"/>
        <v>74.075545424943016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IFERROR(__xludf.DUMMYFUNCTION("IMPORTRANGE(""https://docs.google.com/spreadsheets/d/1Yj_ptqi66GCucihVvJfMjLAmec39IyEx_6qawtMGysU/edit?usp=sharing"",""สบก!Q60"")"),307100)</f>
        <v>307100</v>
      </c>
      <c r="N45" s="49">
        <f ca="1">IFERROR(__xludf.DUMMYFUNCTION("IMPORTRANGE(""https://docs.google.com/spreadsheets/d/1Yj_ptqi66GCucihVvJfMjLAmec39IyEx_6qawtMGysU/edit?usp=sharing"",""สบก!R60"")"),227486)</f>
        <v>227486</v>
      </c>
      <c r="O45" s="38">
        <f ca="1">IF(L45&gt;0,N45*100/L45,0)</f>
        <v>37.043803940726264</v>
      </c>
      <c r="P45" s="38">
        <f ca="1">IF(M45&gt;0,N45*100/M45,0)</f>
        <v>74.075545424943016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139052</v>
      </c>
      <c r="N53" s="121">
        <f t="shared" ca="1" si="39"/>
        <v>111489</v>
      </c>
      <c r="O53" s="120">
        <f t="shared" ref="O53:O55" ca="1" si="40">IF(L53&gt;0,N53*100/L53,0)</f>
        <v>41.756179775280899</v>
      </c>
      <c r="P53" s="120">
        <f t="shared" ref="P53:P55" ca="1" si="41">IF(M53&gt;0,N53*100/M53,0)</f>
        <v>80.177919051865487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139052</v>
      </c>
      <c r="N55" s="121">
        <f t="shared" ca="1" si="43"/>
        <v>111489</v>
      </c>
      <c r="O55" s="120">
        <f t="shared" ca="1" si="40"/>
        <v>41.756179775280899</v>
      </c>
      <c r="P55" s="120">
        <f t="shared" ca="1" si="41"/>
        <v>80.177919051865487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IFERROR(__xludf.DUMMYFUNCTION("IMPORTRANGE(""https://docs.google.com/spreadsheets/d/1Yj_ptqi66GCucihVvJfMjLAmec39IyEx_6qawtMGysU/edit?usp=sharing"",""สบก!Z60"")"),139052)</f>
        <v>139052</v>
      </c>
      <c r="N57" s="49">
        <f ca="1">IFERROR(__xludf.DUMMYFUNCTION("IMPORTRANGE(""https://docs.google.com/spreadsheets/d/1Yj_ptqi66GCucihVvJfMjLAmec39IyEx_6qawtMGysU/edit?usp=sharing"",""สบก!AA60"")"),111489)</f>
        <v>111489</v>
      </c>
      <c r="O57" s="38">
        <f ca="1">IF(L57&gt;0,N57*100/L57,0)</f>
        <v>41.756179775280899</v>
      </c>
      <c r="P57" s="38">
        <f ca="1">IF(M57&gt;0,N57*100/M57,0)</f>
        <v>80.177919051865487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1003300</v>
      </c>
      <c r="M66" s="152">
        <f t="shared" ca="1" si="45"/>
        <v>683320</v>
      </c>
      <c r="N66" s="152">
        <f t="shared" ca="1" si="45"/>
        <v>499182</v>
      </c>
      <c r="O66" s="151">
        <f t="shared" ref="O66:O68" ca="1" si="46">IF(L66&gt;0,N66*100/L66,0)</f>
        <v>49.754011761188082</v>
      </c>
      <c r="P66" s="151">
        <f t="shared" ref="P66:P68" ca="1" si="47">IF(M66&gt;0,N66*100/M66,0)</f>
        <v>73.052449803898611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1003300</v>
      </c>
      <c r="M68" s="157">
        <f t="shared" ca="1" si="49"/>
        <v>683320</v>
      </c>
      <c r="N68" s="157">
        <f t="shared" ca="1" si="49"/>
        <v>499182</v>
      </c>
      <c r="O68" s="156">
        <f t="shared" ca="1" si="46"/>
        <v>49.754011761188082</v>
      </c>
      <c r="P68" s="156">
        <f t="shared" ca="1" si="47"/>
        <v>73.052449803898611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713200</v>
      </c>
      <c r="M70" s="169">
        <f ca="1">IFERROR(__xludf.DUMMYFUNCTION("IMPORTRANGE(""https://docs.google.com/spreadsheets/d/1Yj_ptqi66GCucihVvJfMjLAmec39IyEx_6qawtMGysU/edit?usp=sharing"",""สบก!AI60"")"),393220)</f>
        <v>393220</v>
      </c>
      <c r="N70" s="170">
        <f ca="1">IFERROR(__xludf.DUMMYFUNCTION("IMPORTRANGE(""https://docs.google.com/spreadsheets/d/1Yj_ptqi66GCucihVvJfMjLAmec39IyEx_6qawtMGysU/edit?usp=sharing"",""สบก!AJ60"")"),209082)</f>
        <v>209082</v>
      </c>
      <c r="O70" s="170">
        <f ca="1">IF(L70&gt;0,N70*100/L70,0)</f>
        <v>29.316040381379697</v>
      </c>
      <c r="P70" s="170">
        <f ca="1">IF(M70&gt;0,N70*100/M70,0)</f>
        <v>53.171761354966684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IFERROR(__xludf.DUMMYFUNCTION("IMPORTRANGE(""https://docs.google.com/spreadsheets/d/1Yj_ptqi66GCucihVvJfMjLAmec39IyEx_6qawtMGysU/edit?usp=sharing"",""สบก!AE60"")"),175200)</f>
        <v>175200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IFERROR(__xludf.DUMMYFUNCTION("IMPORTRANGE(""https://docs.google.com/spreadsheets/d/1Yj_ptqi66GCucihVvJfMjLAmec39IyEx_6qawtMGysU/edit?usp=sharing"",""สบก!AF60"")"),538000)</f>
        <v>538000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IFERROR(__xludf.DUMMYFUNCTION("IMPORTRANGE(""https://docs.google.com/spreadsheets/d/1SX6NBoVAgQJ6U1MVXOaj8PK2l7WJ3RER9xtqwdhxkhw/edit?usp=sharing"",""จันทบุรี!J16"")"),0)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IFERROR(__xludf.DUMMYFUNCTION("IMPORTRANGE(""https://docs.google.com/spreadsheets/d/1SX6NBoVAgQJ6U1MVXOaj8PK2l7WJ3RER9xtqwdhxkhw/edit?usp=sharing"",""จันทบุรี!J17"")"),1)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IFERROR(__xludf.DUMMYFUNCTION("IMPORTRANGE(""https://docs.google.com/spreadsheets/d/1SX6NBoVAgQJ6U1MVXOaj8PK2l7WJ3RER9xtqwdhxkhw/edit?usp=sharing"",""จันทบุรี!J18"")"),1)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IFERROR(__xludf.DUMMYFUNCTION("IMPORTRANGE(""https://docs.google.com/spreadsheets/d/1SX6NBoVAgQJ6U1MVXOaj8PK2l7WJ3RER9xtqwdhxkhw/edit?usp=sharing"",""จันทบุรี!J19"")"),1)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IFERROR(__xludf.DUMMYFUNCTION("IMPORTRANGE(""https://docs.google.com/spreadsheets/d/1SX6NBoVAgQJ6U1MVXOaj8PK2l7WJ3RER9xtqwdhxkhw/edit?usp=sharing"",""จันทบุรี!I20"")"),1)</f>
        <v>1</v>
      </c>
      <c r="J80" s="202">
        <f ca="1">IFERROR(__xludf.DUMMYFUNCTION("IMPORTRANGE(""https://docs.google.com/spreadsheets/d/1SX6NBoVAgQJ6U1MVXOaj8PK2l7WJ3RER9xtqwdhxkhw/edit?usp=sharing"",""จันทบุรี!J20"")"),1)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IFERROR(__xludf.DUMMYFUNCTION("IMPORTRANGE(""https://docs.google.com/spreadsheets/d/1SX6NBoVAgQJ6U1MVXOaj8PK2l7WJ3RER9xtqwdhxkhw/edit?usp=sharing"",""จันทบุรี!I21"")"),60)</f>
        <v>60</v>
      </c>
      <c r="J81" s="202">
        <f ca="1">IFERROR(__xludf.DUMMYFUNCTION("IMPORTRANGE(""https://docs.google.com/spreadsheets/d/1SX6NBoVAgQJ6U1MVXOaj8PK2l7WJ3RER9xtqwdhxkhw/edit?usp=sharing"",""จันทบุรี!J21"")"),60)</f>
        <v>60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IFERROR(__xludf.DUMMYFUNCTION("IMPORTRANGE(""https://docs.google.com/spreadsheets/d/1SX6NBoVAgQJ6U1MVXOaj8PK2l7WJ3RER9xtqwdhxkhw/edit?usp=sharing"",""จันทบุรี!I22"")"),0)</f>
        <v>0</v>
      </c>
      <c r="J82" s="205">
        <f ca="1">IFERROR(__xludf.DUMMYFUNCTION("IMPORTRANGE(""https://docs.google.com/spreadsheets/d/1SX6NBoVAgQJ6U1MVXOaj8PK2l7WJ3RER9xtqwdhxkhw/edit?usp=sharing"",""จันทบุรี!J22"")"),0)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IFERROR(__xludf.DUMMYFUNCTION("IMPORTRANGE(""https://docs.google.com/spreadsheets/d/1SX6NBoVAgQJ6U1MVXOaj8PK2l7WJ3RER9xtqwdhxkhw/edit?usp=sharing"",""จันทบุรี!I23"")"),0)</f>
        <v>0</v>
      </c>
      <c r="J83" s="205">
        <f ca="1">IFERROR(__xludf.DUMMYFUNCTION("IMPORTRANGE(""https://docs.google.com/spreadsheets/d/1SX6NBoVAgQJ6U1MVXOaj8PK2l7WJ3RER9xtqwdhxkhw/edit?usp=sharing"",""จันทบุรี!J23"")"),0)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IFERROR(__xludf.DUMMYFUNCTION("IMPORTRANGE(""https://docs.google.com/spreadsheets/d/1SX6NBoVAgQJ6U1MVXOaj8PK2l7WJ3RER9xtqwdhxkhw/edit?usp=sharing"",""จันทบุรี!I24"")"),0)</f>
        <v>0</v>
      </c>
      <c r="J84" s="190">
        <f ca="1">IFERROR(__xludf.DUMMYFUNCTION("IMPORTRANGE(""https://docs.google.com/spreadsheets/d/1SX6NBoVAgQJ6U1MVXOaj8PK2l7WJ3RER9xtqwdhxkhw/edit?usp=sharing"",""จันทบุรี!J24"")"),0)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IFERROR(__xludf.DUMMYFUNCTION("IMPORTRANGE(""https://docs.google.com/spreadsheets/d/1SX6NBoVAgQJ6U1MVXOaj8PK2l7WJ3RER9xtqwdhxkhw/edit?usp=sharing"",""จันทบุรี!I25"")"),0)</f>
        <v>0</v>
      </c>
      <c r="J85" s="190">
        <f ca="1">IFERROR(__xludf.DUMMYFUNCTION("IMPORTRANGE(""https://docs.google.com/spreadsheets/d/1SX6NBoVAgQJ6U1MVXOaj8PK2l7WJ3RER9xtqwdhxkhw/edit?usp=sharing"",""จันทบุรี!J25"")"),0)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IFERROR(__xludf.DUMMYFUNCTION("IMPORTRANGE(""https://docs.google.com/spreadsheets/d/1SX6NBoVAgQJ6U1MVXOaj8PK2l7WJ3RER9xtqwdhxkhw/edit?usp=sharing"",""จันทบุรี!I26"")"),1)</f>
        <v>1</v>
      </c>
      <c r="J86" s="205">
        <f ca="1">IFERROR(__xludf.DUMMYFUNCTION("IMPORTRANGE(""https://docs.google.com/spreadsheets/d/1SX6NBoVAgQJ6U1MVXOaj8PK2l7WJ3RER9xtqwdhxkhw/edit?usp=sharing"",""จันทบุรี!J26"")"),1)</f>
        <v>1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IFERROR(__xludf.DUMMYFUNCTION("IMPORTRANGE(""https://docs.google.com/spreadsheets/d/1SX6NBoVAgQJ6U1MVXOaj8PK2l7WJ3RER9xtqwdhxkhw/edit?usp=sharing"",""จันทบุรี!I27"")"),60)</f>
        <v>60</v>
      </c>
      <c r="J87" s="205">
        <f ca="1">IFERROR(__xludf.DUMMYFUNCTION("IMPORTRANGE(""https://docs.google.com/spreadsheets/d/1SX6NBoVAgQJ6U1MVXOaj8PK2l7WJ3RER9xtqwdhxkhw/edit?usp=sharing"",""จันทบุรี!J27"")"),60)</f>
        <v>60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IFERROR(__xludf.DUMMYFUNCTION("IMPORTRANGE(""https://docs.google.com/spreadsheets/d/1SX6NBoVAgQJ6U1MVXOaj8PK2l7WJ3RER9xtqwdhxkhw/edit?usp=sharing"",""จันทบุรี!I28"")"),0)</f>
        <v>0</v>
      </c>
      <c r="J88" s="205">
        <f ca="1">IFERROR(__xludf.DUMMYFUNCTION("IMPORTRANGE(""https://docs.google.com/spreadsheets/d/1SX6NBoVAgQJ6U1MVXOaj8PK2l7WJ3RER9xtqwdhxkhw/edit?usp=sharing"",""จันทบุรี!J28"")"),0)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IFERROR(__xludf.DUMMYFUNCTION("IMPORTRANGE(""https://docs.google.com/spreadsheets/d/1SX6NBoVAgQJ6U1MVXOaj8PK2l7WJ3RER9xtqwdhxkhw/edit?usp=sharing"",""จันทบุรี!J29"")"),0)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IFERROR(__xludf.DUMMYFUNCTION("IMPORTRANGE(""https://docs.google.com/spreadsheets/d/1SX6NBoVAgQJ6U1MVXOaj8PK2l7WJ3RER9xtqwdhxkhw/edit?usp=sharing"",""จันทบุรี!J30"")"),0)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IFERROR(__xludf.DUMMYFUNCTION("IMPORTRANGE(""https://docs.google.com/spreadsheets/d/1Yj_ptqi66GCucihVvJfMjLAmec39IyEx_6qawtMGysU/edit?usp=sharing"",""สบก!AR60"")"),0)</f>
        <v>0</v>
      </c>
      <c r="N98" s="170">
        <f ca="1">IFERROR(__xludf.DUMMYFUNCTION("IMPORTRANGE(""https://docs.google.com/spreadsheets/d/1Yj_ptqi66GCucihVvJfMjLAmec39IyEx_6qawtMGysU/edit?usp=sharing"",""สบก!AS60"")"),0)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IFERROR(__xludf.DUMMYFUNCTION("IMPORTRANGE(""https://docs.google.com/spreadsheets/d/1Yj_ptqi66GCucihVvJfMjLAmec39IyEx_6qawtMGysU/edit?usp=sharing"",""สบก!AN60"")"),0)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IFERROR(__xludf.DUMMYFUNCTION("IMPORTRANGE(""https://docs.google.com/spreadsheets/d/1Yj_ptqi66GCucihVvJfMjLAmec39IyEx_6qawtMGysU/edit?usp=sharing"",""สบก!AO60"")"),0)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IFERROR(__xludf.DUMMYFUNCTION("IMPORTRANGE(""https://docs.google.com/spreadsheets/d/1SX6NBoVAgQJ6U1MVXOaj8PK2l7WJ3RER9xtqwdhxkhw/edit?usp=sharing"",""จันทบุรี!I43"")"),0)</f>
        <v>0</v>
      </c>
      <c r="J108" s="205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IFERROR(__xludf.DUMMYFUNCTION("IMPORTRANGE(""https://docs.google.com/spreadsheets/d/1SX6NBoVAgQJ6U1MVXOaj8PK2l7WJ3RER9xtqwdhxkhw/edit?usp=sharing"",""จันทบุรี!I44"")"),0)</f>
        <v>0</v>
      </c>
      <c r="J109" s="205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IFERROR(__xludf.DUMMYFUNCTION("IMPORTRANGE(""https://docs.google.com/spreadsheets/d/1SX6NBoVAgQJ6U1MVXOaj8PK2l7WJ3RER9xtqwdhxkhw/edit?usp=sharing"",""จันทบุรี!I45"")"),0)</f>
        <v>0</v>
      </c>
      <c r="J110" s="205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IFERROR(__xludf.DUMMYFUNCTION("IMPORTRANGE(""https://docs.google.com/spreadsheets/d/1SX6NBoVAgQJ6U1MVXOaj8PK2l7WJ3RER9xtqwdhxkhw/edit?usp=sharing"",""จันทบุรี!I46"")"),0)</f>
        <v>0</v>
      </c>
      <c r="J111" s="205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IFERROR(__xludf.DUMMYFUNCTION("IMPORTRANGE(""https://docs.google.com/spreadsheets/d/1SX6NBoVAgQJ6U1MVXOaj8PK2l7WJ3RER9xtqwdhxkhw/edit?usp=sharing"",""จันทบุรี!I47"")"),0)</f>
        <v>0</v>
      </c>
      <c r="J112" s="205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IFERROR(__xludf.DUMMYFUNCTION("IMPORTRANGE(""https://docs.google.com/spreadsheets/d/1SX6NBoVAgQJ6U1MVXOaj8PK2l7WJ3RER9xtqwdhxkhw/edit?usp=sharing"",""จันทบุรี!I48"")"),0)</f>
        <v>0</v>
      </c>
      <c r="J113" s="205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IFERROR(__xludf.DUMMYFUNCTION("IMPORTRANGE(""https://docs.google.com/spreadsheets/d/1Yj_ptqi66GCucihVvJfMjLAmec39IyEx_6qawtMGysU/edit?usp=sharing"",""สบก!BA60"")"),0)</f>
        <v>0</v>
      </c>
      <c r="N122" s="170">
        <f ca="1">IFERROR(__xludf.DUMMYFUNCTION("IMPORTRANGE(""https://docs.google.com/spreadsheets/d/1Yj_ptqi66GCucihVvJfMjLAmec39IyEx_6qawtMGysU/edit?usp=sharing"",""สบก!BB60"")"),0)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IFERROR(__xludf.DUMMYFUNCTION("IMPORTRANGE(""https://docs.google.com/spreadsheets/d/1Yj_ptqi66GCucihVvJfMjLAmec39IyEx_6qawtMGysU/edit?usp=sharing"",""สบก!AW60"")"),0)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IFERROR(__xludf.DUMMYFUNCTION("IMPORTRANGE(""https://docs.google.com/spreadsheets/d/1Yj_ptqi66GCucihVvJfMjLAmec39IyEx_6qawtMGysU/edit?usp=sharing"",""สบก!AX60"")"),0)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241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IFERROR(__xludf.DUMMYFUNCTION("IMPORTRANGE(""https://docs.google.com/spreadsheets/d/1SX6NBoVAgQJ6U1MVXOaj8PK2l7WJ3RER9xtqwdhxkhw/edit?usp=sharing"",""จันทบุรี!I62"")"),0)</f>
        <v>0</v>
      </c>
      <c r="J132" s="205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IFERROR(__xludf.DUMMYFUNCTION("IMPORTRANGE(""https://docs.google.com/spreadsheets/d/1SX6NBoVAgQJ6U1MVXOaj8PK2l7WJ3RER9xtqwdhxkhw/edit?usp=sharing"",""จันทบุรี!I63"")"),0)</f>
        <v>0</v>
      </c>
      <c r="J133" s="205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255400</v>
      </c>
      <c r="M140" s="152">
        <f t="shared" ca="1" si="64"/>
        <v>166550</v>
      </c>
      <c r="N140" s="152">
        <f t="shared" ca="1" si="64"/>
        <v>86281</v>
      </c>
      <c r="O140" s="151">
        <f t="shared" ref="O140:O142" ca="1" si="65">IF(L140&gt;0,N140*100/L140,0)</f>
        <v>33.782693813625684</v>
      </c>
      <c r="P140" s="151">
        <f t="shared" ref="P140:P142" ca="1" si="66">IF(M140&gt;0,N140*100/M140,0)</f>
        <v>51.80486340438307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255400</v>
      </c>
      <c r="M142" s="157">
        <f t="shared" ca="1" si="68"/>
        <v>166550</v>
      </c>
      <c r="N142" s="157">
        <f t="shared" ca="1" si="68"/>
        <v>86281</v>
      </c>
      <c r="O142" s="156">
        <f t="shared" ca="1" si="65"/>
        <v>33.782693813625684</v>
      </c>
      <c r="P142" s="156">
        <f t="shared" ca="1" si="66"/>
        <v>51.80486340438307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255400</v>
      </c>
      <c r="M144" s="169">
        <f ca="1">IFERROR(__xludf.DUMMYFUNCTION("IMPORTRANGE(""https://docs.google.com/spreadsheets/d/1Yj_ptqi66GCucihVvJfMjLAmec39IyEx_6qawtMGysU/edit?usp=sharing"",""สบก!BJ60"")"),166550)</f>
        <v>166550</v>
      </c>
      <c r="N144" s="170">
        <f ca="1">IFERROR(__xludf.DUMMYFUNCTION("IMPORTRANGE(""https://docs.google.com/spreadsheets/d/1Yj_ptqi66GCucihVvJfMjLAmec39IyEx_6qawtMGysU/edit?usp=sharing"",""สบก!BK60"")"),86281)</f>
        <v>86281</v>
      </c>
      <c r="O144" s="170">
        <f ca="1">IF(L144&gt;0,N144*100/L144,0)</f>
        <v>33.782693813625684</v>
      </c>
      <c r="P144" s="170">
        <f ca="1">IF(M144&gt;0,N144*100/M144,0)</f>
        <v>51.80486340438307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IFERROR(__xludf.DUMMYFUNCTION("IMPORTRANGE(""https://docs.google.com/spreadsheets/d/1Yj_ptqi66GCucihVvJfMjLAmec39IyEx_6qawtMGysU/edit?usp=sharing"",""สบก!BF60"")"),132000)</f>
        <v>132000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IFERROR(__xludf.DUMMYFUNCTION("IMPORTRANGE(""https://docs.google.com/spreadsheets/d/1Yj_ptqi66GCucihVvJfMjLAmec39IyEx_6qawtMGysU/edit?usp=sharing"",""สบก!BG60"")"),123400)</f>
        <v>123400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IFERROR(__xludf.DUMMYFUNCTION("IMPORTRANGE(""https://docs.google.com/spreadsheets/d/1SX6NBoVAgQJ6U1MVXOaj8PK2l7WJ3RER9xtqwdhxkhw/edit?usp=sharing"",""จันทบุรี!J79"")"),0)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IFERROR(__xludf.DUMMYFUNCTION("IMPORTRANGE(""https://docs.google.com/spreadsheets/d/1SX6NBoVAgQJ6U1MVXOaj8PK2l7WJ3RER9xtqwdhxkhw/edit?usp=sharing"",""จันทบุรี!J80"")"),1)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IFERROR(__xludf.DUMMYFUNCTION("IMPORTRANGE(""https://docs.google.com/spreadsheets/d/1SX6NBoVAgQJ6U1MVXOaj8PK2l7WJ3RER9xtqwdhxkhw/edit?usp=sharing"",""จันทบุรี!J81"")"),1)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IFERROR(__xludf.DUMMYFUNCTION("IMPORTRANGE(""https://docs.google.com/spreadsheets/d/1SX6NBoVAgQJ6U1MVXOaj8PK2l7WJ3RER9xtqwdhxkhw/edit?usp=sharing"",""จันทบุรี!J82"")"),1)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IFERROR(__xludf.DUMMYFUNCTION("IMPORTRANGE(""https://docs.google.com/spreadsheets/d/1SX6NBoVAgQJ6U1MVXOaj8PK2l7WJ3RER9xtqwdhxkhw/edit?usp=sharing"",""จันทบุรี!I83"")"),4)</f>
        <v>4</v>
      </c>
      <c r="J158" s="190">
        <f ca="1">IFERROR(__xludf.DUMMYFUNCTION("IMPORTRANGE(""https://docs.google.com/spreadsheets/d/1SX6NBoVAgQJ6U1MVXOaj8PK2l7WJ3RER9xtqwdhxkhw/edit?usp=sharing"",""จันทบุรี!J83"")"),2)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IFERROR(__xludf.DUMMYFUNCTION("IMPORTRANGE(""https://docs.google.com/spreadsheets/d/1SX6NBoVAgQJ6U1MVXOaj8PK2l7WJ3RER9xtqwdhxkhw/edit?usp=sharing"",""จันทบุรี!J84"")"),150)</f>
        <v>150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IFERROR(__xludf.DUMMYFUNCTION("IMPORTRANGE(""https://docs.google.com/spreadsheets/d/1SX6NBoVAgQJ6U1MVXOaj8PK2l7WJ3RER9xtqwdhxkhw/edit?usp=sharing"",""จันทบุรี!J85"")"),150)</f>
        <v>150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IFERROR(__xludf.DUMMYFUNCTION("IMPORTRANGE(""https://docs.google.com/spreadsheets/d/1SX6NBoVAgQJ6U1MVXOaj8PK2l7WJ3RER9xtqwdhxkhw/edit?usp=sharing"",""จันทบุรี!J86"")"),0)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IFERROR(__xludf.DUMMYFUNCTION("IMPORTRANGE(""https://docs.google.com/spreadsheets/d/1SX6NBoVAgQJ6U1MVXOaj8PK2l7WJ3RER9xtqwdhxkhw/edit?usp=sharing"",""จันทบุรี!J87"")"),0)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IFERROR(__xludf.DUMMYFUNCTION("IMPORTRANGE(""https://docs.google.com/spreadsheets/d/1SX6NBoVAgQJ6U1MVXOaj8PK2l7WJ3RER9xtqwdhxkhw/edit?usp=sharing"",""จันทบุรี!J88"")"),0)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IFERROR(__xludf.DUMMYFUNCTION("IMPORTRANGE(""https://docs.google.com/spreadsheets/d/1SX6NBoVAgQJ6U1MVXOaj8PK2l7WJ3RER9xtqwdhxkhw/edit?usp=sharing"",""จันทบุรี!I89"")"),2)</f>
        <v>2</v>
      </c>
      <c r="J164" s="284">
        <f ca="1">IFERROR(__xludf.DUMMYFUNCTION("IMPORTRANGE(""https://docs.google.com/spreadsheets/d/1SX6NBoVAgQJ6U1MVXOaj8PK2l7WJ3RER9xtqwdhxkhw/edit?usp=sharing"",""จันทบุรี!J89"")"),2)</f>
        <v>2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IFERROR(__xludf.DUMMYFUNCTION("IMPORTRANGE(""https://docs.google.com/spreadsheets/d/1SX6NBoVAgQJ6U1MVXOaj8PK2l7WJ3RER9xtqwdhxkhw/edit?usp=sharing"",""จันทบุรี!J94"")"),0)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IFERROR(__xludf.DUMMYFUNCTION("IMPORTRANGE(""https://docs.google.com/spreadsheets/d/1SX6NBoVAgQJ6U1MVXOaj8PK2l7WJ3RER9xtqwdhxkhw/edit?usp=sharing"",""จันทบุรี!J95"")"),1)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IFERROR(__xludf.DUMMYFUNCTION("IMPORTRANGE(""https://docs.google.com/spreadsheets/d/1SX6NBoVAgQJ6U1MVXOaj8PK2l7WJ3RER9xtqwdhxkhw/edit?usp=sharing"",""จันทบุรี!J96"")"),1)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IFERROR(__xludf.DUMMYFUNCTION("IMPORTRANGE(""https://docs.google.com/spreadsheets/d/1SX6NBoVAgQJ6U1MVXOaj8PK2l7WJ3RER9xtqwdhxkhw/edit?usp=sharing"",""จันทบุรี!J97"")"),1)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IFERROR(__xludf.DUMMYFUNCTION("IMPORTRANGE(""https://docs.google.com/spreadsheets/d/1SX6NBoVAgQJ6U1MVXOaj8PK2l7WJ3RER9xtqwdhxkhw/edit?usp=sharing"",""จันทบุรี!I98"")"),2)</f>
        <v>2</v>
      </c>
      <c r="J173" s="190">
        <f ca="1">IFERROR(__xludf.DUMMYFUNCTION("IMPORTRANGE(""https://docs.google.com/spreadsheets/d/1SX6NBoVAgQJ6U1MVXOaj8PK2l7WJ3RER9xtqwdhxkhw/edit?usp=sharing"",""จันทบุรี!J98"")"),2)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IFERROR(__xludf.DUMMYFUNCTION("IMPORTRANGE(""https://docs.google.com/spreadsheets/d/1SX6NBoVAgQJ6U1MVXOaj8PK2l7WJ3RER9xtqwdhxkhw/edit?usp=sharing"",""จันทบุรี!J99"")"),0)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IFERROR(__xludf.DUMMYFUNCTION("IMPORTRANGE(""https://docs.google.com/spreadsheets/d/1SX6NBoVAgQJ6U1MVXOaj8PK2l7WJ3RER9xtqwdhxkhw/edit?usp=sharing"",""จันทบุรี!J100"")"),0)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IFERROR(__xludf.DUMMYFUNCTION("IMPORTRANGE(""https://docs.google.com/spreadsheets/d/1SX6NBoVAgQJ6U1MVXOaj8PK2l7WJ3RER9xtqwdhxkhw/edit?usp=sharing"",""จันทบุรี!I101"")"),1)</f>
        <v>1</v>
      </c>
      <c r="J176" s="284">
        <f ca="1">IFERROR(__xludf.DUMMYFUNCTION("IMPORTRANGE(""https://docs.google.com/spreadsheets/d/1SX6NBoVAgQJ6U1MVXOaj8PK2l7WJ3RER9xtqwdhxkhw/edit?usp=sharing"",""จันทบุรี!J101"")"),1)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IFERROR(__xludf.DUMMYFUNCTION("IMPORTRANGE(""https://docs.google.com/spreadsheets/d/1SX6NBoVAgQJ6U1MVXOaj8PK2l7WJ3RER9xtqwdhxkhw/edit?usp=sharing"",""จันทบุรี!J107"")"),1)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IFERROR(__xludf.DUMMYFUNCTION("IMPORTRANGE(""https://docs.google.com/spreadsheets/d/1SX6NBoVAgQJ6U1MVXOaj8PK2l7WJ3RER9xtqwdhxkhw/edit?usp=sharing"",""จันทบุรี!J108"")"),1)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IFERROR(__xludf.DUMMYFUNCTION("IMPORTRANGE(""https://docs.google.com/spreadsheets/d/1SX6NBoVAgQJ6U1MVXOaj8PK2l7WJ3RER9xtqwdhxkhw/edit?usp=sharing"",""จันทบุรี!J109"")"),0)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IFERROR(__xludf.DUMMYFUNCTION("IMPORTRANGE(""https://docs.google.com/spreadsheets/d/1SX6NBoVAgQJ6U1MVXOaj8PK2l7WJ3RER9xtqwdhxkhw/edit?usp=sharing"",""จันทบุรี!I110"")"),1)</f>
        <v>1</v>
      </c>
      <c r="J185" s="205">
        <f ca="1">IFERROR(__xludf.DUMMYFUNCTION("IMPORTRANGE(""https://docs.google.com/spreadsheets/d/1SX6NBoVAgQJ6U1MVXOaj8PK2l7WJ3RER9xtqwdhxkhw/edit?usp=sharing"",""จันทบุรี!J110"")"),0)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IFERROR(__xludf.DUMMYFUNCTION("IMPORTRANGE(""https://docs.google.com/spreadsheets/d/1SX6NBoVAgQJ6U1MVXOaj8PK2l7WJ3RER9xtqwdhxkhw/edit?usp=sharing"",""จันทบุรี!I111"")"),1)</f>
        <v>1</v>
      </c>
      <c r="J186" s="205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IFERROR(__xludf.DUMMYFUNCTION("IMPORTRANGE(""https://docs.google.com/spreadsheets/d/1SX6NBoVAgQJ6U1MVXOaj8PK2l7WJ3RER9xtqwdhxkhw/edit?usp=sharing"",""จันทบุรี!J112"")"),0)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IFERROR(__xludf.DUMMYFUNCTION("IMPORTRANGE(""https://docs.google.com/spreadsheets/d/1SX6NBoVAgQJ6U1MVXOaj8PK2l7WJ3RER9xtqwdhxkhw/edit?usp=sharing"",""จันทบุรี!J113"")"),0)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IFERROR(__xludf.DUMMYFUNCTION("IMPORTRANGE(""https://docs.google.com/spreadsheets/d/1SX6NBoVAgQJ6U1MVXOaj8PK2l7WJ3RER9xtqwdhxkhw/edit?usp=sharing"",""จันทบุรี!I114"")"),12800)</f>
        <v>12800</v>
      </c>
      <c r="J189" s="284">
        <f ca="1">IFERROR(__xludf.DUMMYFUNCTION("IMPORTRANGE(""https://docs.google.com/spreadsheets/d/1SX6NBoVAgQJ6U1MVXOaj8PK2l7WJ3RER9xtqwdhxkhw/edit?usp=sharing"",""จันทบุรี!J114"")"),0)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IFERROR(__xludf.DUMMYFUNCTION("IMPORTRANGE(""https://docs.google.com/spreadsheets/d/1SX6NBoVAgQJ6U1MVXOaj8PK2l7WJ3RER9xtqwdhxkhw/edit?usp=sharing"",""จันทบุรี!J119"")"),0)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IFERROR(__xludf.DUMMYFUNCTION("IMPORTRANGE(""https://docs.google.com/spreadsheets/d/1SX6NBoVAgQJ6U1MVXOaj8PK2l7WJ3RER9xtqwdhxkhw/edit?usp=sharing"",""จันทบุรี!J120"")"),1)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IFERROR(__xludf.DUMMYFUNCTION("IMPORTRANGE(""https://docs.google.com/spreadsheets/d/1SX6NBoVAgQJ6U1MVXOaj8PK2l7WJ3RER9xtqwdhxkhw/edit?usp=sharing"",""จันทบุรี!J121"")"),1)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IFERROR(__xludf.DUMMYFUNCTION("IMPORTRANGE(""https://docs.google.com/spreadsheets/d/1SX6NBoVAgQJ6U1MVXOaj8PK2l7WJ3RER9xtqwdhxkhw/edit?usp=sharing"",""จันทบุรี!J122"")"),1)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IFERROR(__xludf.DUMMYFUNCTION("IMPORTRANGE(""https://docs.google.com/spreadsheets/d/1SX6NBoVAgQJ6U1MVXOaj8PK2l7WJ3RER9xtqwdhxkhw/edit?usp=sharing"",""จันทบุรี!I124"")"),12800)</f>
        <v>12800</v>
      </c>
      <c r="J199" s="190">
        <f ca="1">IFERROR(__xludf.DUMMYFUNCTION("IMPORTRANGE(""https://docs.google.com/spreadsheets/d/1SX6NBoVAgQJ6U1MVXOaj8PK2l7WJ3RER9xtqwdhxkhw/edit?usp=sharing"",""จันทบุรี!J124"")"),12800)</f>
        <v>12800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IFERROR(__xludf.DUMMYFUNCTION("IMPORTRANGE(""https://docs.google.com/spreadsheets/d/1SX6NBoVAgQJ6U1MVXOaj8PK2l7WJ3RER9xtqwdhxkhw/edit?usp=sharing"",""จันทบุรี!I125"")"),12800)</f>
        <v>12800</v>
      </c>
      <c r="J200" s="190">
        <f ca="1">IFERROR(__xludf.DUMMYFUNCTION("IMPORTRANGE(""https://docs.google.com/spreadsheets/d/1SX6NBoVAgQJ6U1MVXOaj8PK2l7WJ3RER9xtqwdhxkhw/edit?usp=sharing"",""จันทบุรี!J125"")"),0)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IFERROR(__xludf.DUMMYFUNCTION("IMPORTRANGE(""https://docs.google.com/spreadsheets/d/1SX6NBoVAgQJ6U1MVXOaj8PK2l7WJ3RER9xtqwdhxkhw/edit?usp=sharing"",""จันทบุรี!I126"")"),0)</f>
        <v>0</v>
      </c>
      <c r="J201" s="190">
        <f ca="1">IFERROR(__xludf.DUMMYFUNCTION("IMPORTRANGE(""https://docs.google.com/spreadsheets/d/1SX6NBoVAgQJ6U1MVXOaj8PK2l7WJ3RER9xtqwdhxkhw/edit?usp=sharing"",""จันทบุรี!J126"")"),0)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IFERROR(__xludf.DUMMYFUNCTION("IMPORTRANGE(""https://docs.google.com/spreadsheets/d/1SX6NBoVAgQJ6U1MVXOaj8PK2l7WJ3RER9xtqwdhxkhw/edit?usp=sharing"",""จันทบุรี!J127"")"),0)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IFERROR(__xludf.DUMMYFUNCTION("IMPORTRANGE(""https://docs.google.com/spreadsheets/d/1SX6NBoVAgQJ6U1MVXOaj8PK2l7WJ3RER9xtqwdhxkhw/edit?usp=sharing"",""จันทบุรี!J128"")"),0)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IFERROR(__xludf.DUMMYFUNCTION("IMPORTRANGE(""https://docs.google.com/spreadsheets/d/1SX6NBoVAgQJ6U1MVXOaj8PK2l7WJ3RER9xtqwdhxkhw/edit?usp=sharing"",""จันทบุรี!I129"")"),20)</f>
        <v>20</v>
      </c>
      <c r="J204" s="284">
        <f ca="1">IFERROR(__xludf.DUMMYFUNCTION("IMPORTRANGE(""https://docs.google.com/spreadsheets/d/1SX6NBoVAgQJ6U1MVXOaj8PK2l7WJ3RER9xtqwdhxkhw/edit?usp=sharing"",""จันทบุรี!J129"")"),0)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IFERROR(__xludf.DUMMYFUNCTION("IMPORTRANGE(""https://docs.google.com/spreadsheets/d/1SX6NBoVAgQJ6U1MVXOaj8PK2l7WJ3RER9xtqwdhxkhw/edit?usp=sharing"",""จันทบุรี!J135"")"),1)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IFERROR(__xludf.DUMMYFUNCTION("IMPORTRANGE(""https://docs.google.com/spreadsheets/d/1SX6NBoVAgQJ6U1MVXOaj8PK2l7WJ3RER9xtqwdhxkhw/edit?usp=sharing"",""จันทบุรี!J136"")"),1)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IFERROR(__xludf.DUMMYFUNCTION("IMPORTRANGE(""https://docs.google.com/spreadsheets/d/1SX6NBoVAgQJ6U1MVXOaj8PK2l7WJ3RER9xtqwdhxkhw/edit?usp=sharing"",""จันทบุรี!J137"")"),1)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IFERROR(__xludf.DUMMYFUNCTION("IMPORTRANGE(""https://docs.google.com/spreadsheets/d/1SX6NBoVAgQJ6U1MVXOaj8PK2l7WJ3RER9xtqwdhxkhw/edit?usp=sharing"",""จันทบุรี!I138"")"),20)</f>
        <v>20</v>
      </c>
      <c r="J213" s="205">
        <f ca="1">IFERROR(__xludf.DUMMYFUNCTION("IMPORTRANGE(""https://docs.google.com/spreadsheets/d/1SX6NBoVAgQJ6U1MVXOaj8PK2l7WJ3RER9xtqwdhxkhw/edit?usp=sharing"",""จันทบุรี!J138"")"),0)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IFERROR(__xludf.DUMMYFUNCTION("IMPORTRANGE(""https://docs.google.com/spreadsheets/d/1SX6NBoVAgQJ6U1MVXOaj8PK2l7WJ3RER9xtqwdhxkhw/edit?usp=sharing"",""จันทบุรี!I140"")"),0)</f>
        <v>0</v>
      </c>
      <c r="J215" s="205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IFERROR(__xludf.DUMMYFUNCTION("IMPORTRANGE(""https://docs.google.com/spreadsheets/d/1SX6NBoVAgQJ6U1MVXOaj8PK2l7WJ3RER9xtqwdhxkhw/edit?usp=sharing"",""จันทบุรี!I141"")"),0)</f>
        <v>0</v>
      </c>
      <c r="J216" s="205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IFERROR(__xludf.DUMMYFUNCTION("IMPORTRANGE(""https://docs.google.com/spreadsheets/d/1SX6NBoVAgQJ6U1MVXOaj8PK2l7WJ3RER9xtqwdhxkhw/edit?usp=sharing"",""จันทบุรี!J142"")"),0)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17795</v>
      </c>
      <c r="O220" s="151">
        <f t="shared" ref="O220:O222" ca="1" si="73">IF(L220&gt;0,N220*100/L220,0)</f>
        <v>92.22596527597824</v>
      </c>
      <c r="P220" s="151">
        <f t="shared" ref="P220:P222" ca="1" si="74">IF(M220&gt;0,N220*100/M220,0)</f>
        <v>92.22596527597824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17795</v>
      </c>
      <c r="O222" s="156">
        <f t="shared" ca="1" si="73"/>
        <v>92.22596527597824</v>
      </c>
      <c r="P222" s="156">
        <f t="shared" ca="1" si="74"/>
        <v>92.22596527597824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IFERROR(__xludf.DUMMYFUNCTION("IMPORTRANGE(""https://docs.google.com/spreadsheets/d/1Yj_ptqi66GCucihVvJfMjLAmec39IyEx_6qawtMGysU/edit?usp=sharing"",""สบก!BS60"")"),19295)</f>
        <v>19295</v>
      </c>
      <c r="N224" s="170">
        <f ca="1">IFERROR(__xludf.DUMMYFUNCTION("IMPORTRANGE(""https://docs.google.com/spreadsheets/d/1Yj_ptqi66GCucihVvJfMjLAmec39IyEx_6qawtMGysU/edit?usp=sharing"",""สบก!BT60"")"),17795)</f>
        <v>17795</v>
      </c>
      <c r="O224" s="170">
        <f ca="1">IF(L224&gt;0,N224*100/L224,0)</f>
        <v>92.22596527597824</v>
      </c>
      <c r="P224" s="170">
        <f ca="1">IF(M224&gt;0,N224*100/M224,0)</f>
        <v>92.22596527597824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IFERROR(__xludf.DUMMYFUNCTION("IMPORTRANGE(""https://docs.google.com/spreadsheets/d/1Yj_ptqi66GCucihVvJfMjLAmec39IyEx_6qawtMGysU/edit?usp=sharing"",""สบก!BO60"")"),0)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IFERROR(__xludf.DUMMYFUNCTION("IMPORTRANGE(""https://docs.google.com/spreadsheets/d/1Yj_ptqi66GCucihVvJfMjLAmec39IyEx_6qawtMGysU/edit?usp=sharing"",""สบก!BP60"")"),19295)</f>
        <v>19295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IFERROR(__xludf.DUMMYFUNCTION("IMPORTRANGE(""https://docs.google.com/spreadsheets/d/1SX6NBoVAgQJ6U1MVXOaj8PK2l7WJ3RER9xtqwdhxkhw/edit?usp=sharing"",""จันทบุรี!J151"")"),0)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IFERROR(__xludf.DUMMYFUNCTION("IMPORTRANGE(""https://docs.google.com/spreadsheets/d/1SX6NBoVAgQJ6U1MVXOaj8PK2l7WJ3RER9xtqwdhxkhw/edit?usp=sharing"",""จันทบุรี!J152"")"),1)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IFERROR(__xludf.DUMMYFUNCTION("IMPORTRANGE(""https://docs.google.com/spreadsheets/d/1SX6NBoVAgQJ6U1MVXOaj8PK2l7WJ3RER9xtqwdhxkhw/edit?usp=sharing"",""จันทบุรี!J153"")"),1)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IFERROR(__xludf.DUMMYFUNCTION("IMPORTRANGE(""https://docs.google.com/spreadsheets/d/1SX6NBoVAgQJ6U1MVXOaj8PK2l7WJ3RER9xtqwdhxkhw/edit?usp=sharing"",""จันทบุรี!J154"")"),1)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IFERROR(__xludf.DUMMYFUNCTION("IMPORTRANGE(""https://docs.google.com/spreadsheets/d/1SX6NBoVAgQJ6U1MVXOaj8PK2l7WJ3RER9xtqwdhxkhw/edit?usp=sharing"",""จันทบุรี!I155"")"),13)</f>
        <v>13</v>
      </c>
      <c r="J235" s="190">
        <f ca="1">IFERROR(__xludf.DUMMYFUNCTION("IMPORTRANGE(""https://docs.google.com/spreadsheets/d/1SX6NBoVAgQJ6U1MVXOaj8PK2l7WJ3RER9xtqwdhxkhw/edit?usp=sharing"",""จันทบุรี!J155"")"),13)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IFERROR(__xludf.DUMMYFUNCTION("IMPORTRANGE(""https://docs.google.com/spreadsheets/d/1SX6NBoVAgQJ6U1MVXOaj8PK2l7WJ3RER9xtqwdhxkhw/edit?usp=sharing"",""จันทบุรี!J156"")"),0)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IFERROR(__xludf.DUMMYFUNCTION("IMPORTRANGE(""https://docs.google.com/spreadsheets/d/1SX6NBoVAgQJ6U1MVXOaj8PK2l7WJ3RER9xtqwdhxkhw/edit?usp=sharing"",""จันทบุรี!J157"")"),0)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IFERROR(__xludf.DUMMYFUNCTION("IMPORTRANGE(""https://docs.google.com/spreadsheets/d/1SX6NBoVAgQJ6U1MVXOaj8PK2l7WJ3RER9xtqwdhxkhw/edit?usp=sharing"",""จันทบุรี!J159"")"),"")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IFERROR(__xludf.DUMMYFUNCTION("IMPORTRANGE(""https://docs.google.com/spreadsheets/d/1SX6NBoVAgQJ6U1MVXOaj8PK2l7WJ3RER9xtqwdhxkhw/edit?usp=sharing"",""จันทบุรี!J161"")"),0)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IFERROR(__xludf.DUMMYFUNCTION("IMPORTRANGE(""https://docs.google.com/spreadsheets/d/1SX6NBoVAgQJ6U1MVXOaj8PK2l7WJ3RER9xtqwdhxkhw/edit?usp=sharing"",""จันทบุรี!J162"")"),0)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IFERROR(__xludf.DUMMYFUNCTION("IMPORTRANGE(""https://docs.google.com/spreadsheets/d/1SX6NBoVAgQJ6U1MVXOaj8PK2l7WJ3RER9xtqwdhxkhw/edit?usp=sharing"",""จันทบุรี!J163"")"),0)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IFERROR(__xludf.DUMMYFUNCTION("IMPORTRANGE(""https://docs.google.com/spreadsheets/d/1SX6NBoVAgQJ6U1MVXOaj8PK2l7WJ3RER9xtqwdhxkhw/edit?usp=sharing"",""จันทบุรี!I164"")"),0)</f>
        <v>0</v>
      </c>
      <c r="J244" s="189">
        <f ca="1">IFERROR(__xludf.DUMMYFUNCTION("IMPORTRANGE(""https://docs.google.com/spreadsheets/d/1SX6NBoVAgQJ6U1MVXOaj8PK2l7WJ3RER9xtqwdhxkhw/edit?usp=sharing"",""จันทบุรี!J164"")"),0)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IFERROR(__xludf.DUMMYFUNCTION("IMPORTRANGE(""https://docs.google.com/spreadsheets/d/1SX6NBoVAgQJ6U1MVXOaj8PK2l7WJ3RER9xtqwdhxkhw/edit?usp=sharing"",""จันทบุรี!J165"")"),0)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IFERROR(__xludf.DUMMYFUNCTION("IMPORTRANGE(""https://docs.google.com/spreadsheets/d/1SX6NBoVAgQJ6U1MVXOaj8PK2l7WJ3RER9xtqwdhxkhw/edit?usp=sharing"",""จันทบุรี!I169"")"),25)</f>
        <v>25</v>
      </c>
      <c r="J249" s="316">
        <f ca="1">IFERROR(__xludf.DUMMYFUNCTION("IMPORTRANGE(""https://docs.google.com/spreadsheets/d/1SX6NBoVAgQJ6U1MVXOaj8PK2l7WJ3RER9xtqwdhxkhw/edit?usp=sharing"",""จันทบุรี!J169"")"),25)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199000</v>
      </c>
      <c r="M250" s="152">
        <f t="shared" ca="1" si="77"/>
        <v>97500</v>
      </c>
      <c r="N250" s="152">
        <f t="shared" ca="1" si="77"/>
        <v>57023</v>
      </c>
      <c r="O250" s="151">
        <f t="shared" ref="O250:O252" ca="1" si="78">IF(L250&gt;0,N250*100/L250,0)</f>
        <v>28.654773869346734</v>
      </c>
      <c r="P250" s="151">
        <f t="shared" ref="P250:P252" ca="1" si="79">IF(M250&gt;0,N250*100/M250,0)</f>
        <v>58.485128205128206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199000</v>
      </c>
      <c r="M252" s="157">
        <f t="shared" ca="1" si="81"/>
        <v>97500</v>
      </c>
      <c r="N252" s="157">
        <f t="shared" ca="1" si="81"/>
        <v>57023</v>
      </c>
      <c r="O252" s="156">
        <f t="shared" ca="1" si="78"/>
        <v>28.654773869346734</v>
      </c>
      <c r="P252" s="156">
        <f t="shared" ca="1" si="79"/>
        <v>58.485128205128206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199000</v>
      </c>
      <c r="M254" s="169">
        <f ca="1">IFERROR(__xludf.DUMMYFUNCTION("IMPORTRANGE(""https://docs.google.com/spreadsheets/d/1Yj_ptqi66GCucihVvJfMjLAmec39IyEx_6qawtMGysU/edit?usp=sharing"",""สบก!CB60"")"),97500)</f>
        <v>97500</v>
      </c>
      <c r="N254" s="170">
        <f ca="1">IFERROR(__xludf.DUMMYFUNCTION("IMPORTRANGE(""https://docs.google.com/spreadsheets/d/1Yj_ptqi66GCucihVvJfMjLAmec39IyEx_6qawtMGysU/edit?usp=sharing"",""สบก!CC60"")"),57023)</f>
        <v>57023</v>
      </c>
      <c r="O254" s="170">
        <f ca="1">IF(L254&gt;0,N254*100/L254,0)</f>
        <v>28.654773869346734</v>
      </c>
      <c r="P254" s="170">
        <f ca="1">IF(M254&gt;0,N254*100/M254,0)</f>
        <v>58.485128205128206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IFERROR(__xludf.DUMMYFUNCTION("IMPORTRANGE(""https://docs.google.com/spreadsheets/d/1Yj_ptqi66GCucihVvJfMjLAmec39IyEx_6qawtMGysU/edit?usp=sharing"",""สบก!BX60"")"),0)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IFERROR(__xludf.DUMMYFUNCTION("IMPORTRANGE(""https://docs.google.com/spreadsheets/d/1Yj_ptqi66GCucihVvJfMjLAmec39IyEx_6qawtMGysU/edit?usp=sharing"",""สบก!BY60"")"),199000)</f>
        <v>199000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IFERROR(__xludf.DUMMYFUNCTION("IMPORTRANGE(""https://docs.google.com/spreadsheets/d/1SX6NBoVAgQJ6U1MVXOaj8PK2l7WJ3RER9xtqwdhxkhw/edit?usp=sharing"",""จันทบุรี!J175"")"),0)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IFERROR(__xludf.DUMMYFUNCTION("IMPORTRANGE(""https://docs.google.com/spreadsheets/d/1SX6NBoVAgQJ6U1MVXOaj8PK2l7WJ3RER9xtqwdhxkhw/edit?usp=sharing"",""จันทบุรี!J176"")"),1)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IFERROR(__xludf.DUMMYFUNCTION("IMPORTRANGE(""https://docs.google.com/spreadsheets/d/1SX6NBoVAgQJ6U1MVXOaj8PK2l7WJ3RER9xtqwdhxkhw/edit?usp=sharing"",""จันทบุรี!J177"")"),1)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IFERROR(__xludf.DUMMYFUNCTION("IMPORTRANGE(""https://docs.google.com/spreadsheets/d/1SX6NBoVAgQJ6U1MVXOaj8PK2l7WJ3RER9xtqwdhxkhw/edit?usp=sharing"",""จันทบุรี!J178"")"),1)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IFERROR(__xludf.DUMMYFUNCTION("IMPORTRANGE(""https://docs.google.com/spreadsheets/d/1SX6NBoVAgQJ6U1MVXOaj8PK2l7WJ3RER9xtqwdhxkhw/edit?usp=sharing"",""จันทบุรี!I179"")"),1)</f>
        <v>1</v>
      </c>
      <c r="J264" s="190">
        <f ca="1">IFERROR(__xludf.DUMMYFUNCTION("IMPORTRANGE(""https://docs.google.com/spreadsheets/d/1SX6NBoVAgQJ6U1MVXOaj8PK2l7WJ3RER9xtqwdhxkhw/edit?usp=sharing"",""จันทบุรี!J179"")"),1)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IFERROR(__xludf.DUMMYFUNCTION("IMPORTRANGE(""https://docs.google.com/spreadsheets/d/1SX6NBoVAgQJ6U1MVXOaj8PK2l7WJ3RER9xtqwdhxkhw/edit?usp=sharing"",""จันทบุรี!I180"")"),25)</f>
        <v>25</v>
      </c>
      <c r="J265" s="190">
        <f ca="1">IFERROR(__xludf.DUMMYFUNCTION("IMPORTRANGE(""https://docs.google.com/spreadsheets/d/1SX6NBoVAgQJ6U1MVXOaj8PK2l7WJ3RER9xtqwdhxkhw/edit?usp=sharing"",""จันทบุรี!J180"")"),25)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IFERROR(__xludf.DUMMYFUNCTION("IMPORTRANGE(""https://docs.google.com/spreadsheets/d/1SX6NBoVAgQJ6U1MVXOaj8PK2l7WJ3RER9xtqwdhxkhw/edit?usp=sharing"",""จันทบุรี!I181"")"),25)</f>
        <v>25</v>
      </c>
      <c r="J266" s="190">
        <f ca="1">IFERROR(__xludf.DUMMYFUNCTION("IMPORTRANGE(""https://docs.google.com/spreadsheets/d/1SX6NBoVAgQJ6U1MVXOaj8PK2l7WJ3RER9xtqwdhxkhw/edit?usp=sharing"",""จันทบุรี!J181"")"),25)</f>
        <v>25</v>
      </c>
      <c r="K266" s="165">
        <f t="shared" ca="1" si="82"/>
        <v>100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IFERROR(__xludf.DUMMYFUNCTION("IMPORTRANGE(""https://docs.google.com/spreadsheets/d/1SX6NBoVAgQJ6U1MVXOaj8PK2l7WJ3RER9xtqwdhxkhw/edit?usp=sharing"",""จันทบุรี!I182"")"),1)</f>
        <v>1</v>
      </c>
      <c r="J267" s="190">
        <f ca="1">IFERROR(__xludf.DUMMYFUNCTION("IMPORTRANGE(""https://docs.google.com/spreadsheets/d/1SX6NBoVAgQJ6U1MVXOaj8PK2l7WJ3RER9xtqwdhxkhw/edit?usp=sharing"",""จันทบุรี!J182"")"),1)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IFERROR(__xludf.DUMMYFUNCTION("IMPORTRANGE(""https://docs.google.com/spreadsheets/d/1SX6NBoVAgQJ6U1MVXOaj8PK2l7WJ3RER9xtqwdhxkhw/edit?usp=sharing"",""จันทบุรี!J183"")"),0)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IFERROR(__xludf.DUMMYFUNCTION("IMPORTRANGE(""https://docs.google.com/spreadsheets/d/1SX6NBoVAgQJ6U1MVXOaj8PK2l7WJ3RER9xtqwdhxkhw/edit?usp=sharing"",""จันทบุรี!J184"")"),0)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IFERROR(__xludf.DUMMYFUNCTION("IMPORTRANGE(""https://docs.google.com/spreadsheets/d/1SX6NBoVAgQJ6U1MVXOaj8PK2l7WJ3RER9xtqwdhxkhw/edit?usp=sharing"",""จันทบุรี!I185"")"),15)</f>
        <v>15</v>
      </c>
      <c r="J270" s="316">
        <f ca="1">IFERROR(__xludf.DUMMYFUNCTION("IMPORTRANGE(""https://docs.google.com/spreadsheets/d/1SX6NBoVAgQJ6U1MVXOaj8PK2l7WJ3RER9xtqwdhxkhw/edit?usp=sharing"",""จันทบุรี!J185"")"),15)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23940</v>
      </c>
      <c r="O271" s="151">
        <f t="shared" ref="O271:O273" ca="1" si="84">IF(L271&gt;0,N271*100/L271,0)</f>
        <v>43.369565217391305</v>
      </c>
      <c r="P271" s="151">
        <f t="shared" ref="P271:P273" ca="1" si="85">IF(M271&gt;0,N271*100/M271,0)</f>
        <v>74.232558139534888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23940</v>
      </c>
      <c r="O273" s="156">
        <f t="shared" ca="1" si="84"/>
        <v>43.369565217391305</v>
      </c>
      <c r="P273" s="156">
        <f t="shared" ca="1" si="85"/>
        <v>74.232558139534888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IFERROR(__xludf.DUMMYFUNCTION("IMPORTRANGE(""https://docs.google.com/spreadsheets/d/1Yj_ptqi66GCucihVvJfMjLAmec39IyEx_6qawtMGysU/edit?usp=sharing"",""สบก!CK60"")"),32250)</f>
        <v>32250</v>
      </c>
      <c r="N275" s="170">
        <f ca="1">IFERROR(__xludf.DUMMYFUNCTION("IMPORTRANGE(""https://docs.google.com/spreadsheets/d/1Yj_ptqi66GCucihVvJfMjLAmec39IyEx_6qawtMGysU/edit?usp=sharing"",""สบก!CL60"")"),23940)</f>
        <v>23940</v>
      </c>
      <c r="O275" s="170">
        <f ca="1">IF(L275&gt;0,N275*100/L275,0)</f>
        <v>43.369565217391305</v>
      </c>
      <c r="P275" s="170">
        <f ca="1">IF(M275&gt;0,N275*100/M275,0)</f>
        <v>74.232558139534888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IFERROR(__xludf.DUMMYFUNCTION("IMPORTRANGE(""https://docs.google.com/spreadsheets/d/1Yj_ptqi66GCucihVvJfMjLAmec39IyEx_6qawtMGysU/edit?usp=sharing"",""สบก!CG60"")"),0)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IFERROR(__xludf.DUMMYFUNCTION("IMPORTRANGE(""https://docs.google.com/spreadsheets/d/1Yj_ptqi66GCucihVvJfMjLAmec39IyEx_6qawtMGysU/edit?usp=sharing"",""สบก!CH60"")"),55200)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IFERROR(__xludf.DUMMYFUNCTION("IMPORTRANGE(""https://docs.google.com/spreadsheets/d/1SX6NBoVAgQJ6U1MVXOaj8PK2l7WJ3RER9xtqwdhxkhw/edit?usp=sharing"",""จันทบุรี!J191"")"),0)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IFERROR(__xludf.DUMMYFUNCTION("IMPORTRANGE(""https://docs.google.com/spreadsheets/d/1SX6NBoVAgQJ6U1MVXOaj8PK2l7WJ3RER9xtqwdhxkhw/edit?usp=sharing"",""จันทบุรี!J192"")"),1)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IFERROR(__xludf.DUMMYFUNCTION("IMPORTRANGE(""https://docs.google.com/spreadsheets/d/1SX6NBoVAgQJ6U1MVXOaj8PK2l7WJ3RER9xtqwdhxkhw/edit?usp=sharing"",""จันทบุรี!J193"")"),1)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IFERROR(__xludf.DUMMYFUNCTION("IMPORTRANGE(""https://docs.google.com/spreadsheets/d/1SX6NBoVAgQJ6U1MVXOaj8PK2l7WJ3RER9xtqwdhxkhw/edit?usp=sharing"",""จันทบุรี!J194"")"),1)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IFERROR(__xludf.DUMMYFUNCTION("IMPORTRANGE(""https://docs.google.com/spreadsheets/d/1SX6NBoVAgQJ6U1MVXOaj8PK2l7WJ3RER9xtqwdhxkhw/edit?usp=sharing"",""จันทบุรี!I195"")"),15)</f>
        <v>15</v>
      </c>
      <c r="J285" s="190">
        <f ca="1">IFERROR(__xludf.DUMMYFUNCTION("IMPORTRANGE(""https://docs.google.com/spreadsheets/d/1SX6NBoVAgQJ6U1MVXOaj8PK2l7WJ3RER9xtqwdhxkhw/edit?usp=sharing"",""จันทบุรี!J195"")"),15)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IFERROR(__xludf.DUMMYFUNCTION("IMPORTRANGE(""https://docs.google.com/spreadsheets/d/1SX6NBoVAgQJ6U1MVXOaj8PK2l7WJ3RER9xtqwdhxkhw/edit?usp=sharing"",""จันทบุรี!J196"")"),0)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IFERROR(__xludf.DUMMYFUNCTION("IMPORTRANGE(""https://docs.google.com/spreadsheets/d/1SX6NBoVAgQJ6U1MVXOaj8PK2l7WJ3RER9xtqwdhxkhw/edit?usp=sharing"",""จันทบุรี!J197"")"),0)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IFERROR(__xludf.DUMMYFUNCTION("IMPORTRANGE(""https://docs.google.com/spreadsheets/d/1SX6NBoVAgQJ6U1MVXOaj8PK2l7WJ3RER9xtqwdhxkhw/edit?usp=sharing"",""จันทบุรี!I199"")"),0)</f>
        <v>0</v>
      </c>
      <c r="J289" s="316">
        <f ca="1">IFERROR(__xludf.DUMMYFUNCTION("IMPORTRANGE(""https://docs.google.com/spreadsheets/d/1SX6NBoVAgQJ6U1MVXOaj8PK2l7WJ3RER9xtqwdhxkhw/edit?usp=sharing"",""จันทบุรี!J199"")"),0)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IFERROR(__xludf.DUMMYFUNCTION("IMPORTRANGE(""https://docs.google.com/spreadsheets/d/1Yj_ptqi66GCucihVvJfMjLAmec39IyEx_6qawtMGysU/edit?usp=sharing"",""สบก!CT60"")"),0)</f>
        <v>0</v>
      </c>
      <c r="N294" s="170">
        <f ca="1">IFERROR(__xludf.DUMMYFUNCTION("IMPORTRANGE(""https://docs.google.com/spreadsheets/d/1Yj_ptqi66GCucihVvJfMjLAmec39IyEx_6qawtMGysU/edit?usp=sharing"",""สบก!CU60"")"),0)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IFERROR(__xludf.DUMMYFUNCTION("IMPORTRANGE(""https://docs.google.com/spreadsheets/d/1Yj_ptqi66GCucihVvJfMjLAmec39IyEx_6qawtMGysU/edit?usp=sharing"",""สบก!CP60"")"),0)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IFERROR(__xludf.DUMMYFUNCTION("IMPORTRANGE(""https://docs.google.com/spreadsheets/d/1Yj_ptqi66GCucihVvJfMjLAmec39IyEx_6qawtMGysU/edit?usp=sharing"",""สบก!CQ60"")"),0)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IFERROR(__xludf.DUMMYFUNCTION("IMPORTRANGE(""https://docs.google.com/spreadsheets/d/1SX6NBoVAgQJ6U1MVXOaj8PK2l7WJ3RER9xtqwdhxkhw/edit?usp=sharing"",""จันทบุรี!I209"")"),0)</f>
        <v>0</v>
      </c>
      <c r="J304" s="205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IFERROR(__xludf.DUMMYFUNCTION("IMPORTRANGE(""https://docs.google.com/spreadsheets/d/1SX6NBoVAgQJ6U1MVXOaj8PK2l7WJ3RER9xtqwdhxkhw/edit?usp=sharing"",""จันทบุรี!I211"")"),0)</f>
        <v>0</v>
      </c>
      <c r="J306" s="205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IFERROR(__xludf.DUMMYFUNCTION("IMPORTRANGE(""https://docs.google.com/spreadsheets/d/1SX6NBoVAgQJ6U1MVXOaj8PK2l7WJ3RER9xtqwdhxkhw/edit?usp=sharing"",""จันทบุรี!I214"")"),0)</f>
        <v>0</v>
      </c>
      <c r="J309" s="333">
        <f ca="1">IFERROR(__xludf.DUMMYFUNCTION("IMPORTRANGE(""https://docs.google.com/spreadsheets/d/1SX6NBoVAgQJ6U1MVXOaj8PK2l7WJ3RER9xtqwdhxkhw/edit?usp=sharing"",""จันทบุรี!J214"")"),0)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IFERROR(__xludf.DUMMYFUNCTION("IMPORTRANGE(""https://docs.google.com/spreadsheets/d/1Yj_ptqi66GCucihVvJfMjLAmec39IyEx_6qawtMGysU/edit?usp=sharing"",""สบก!DC60"")"),0)</f>
        <v>0</v>
      </c>
      <c r="N314" s="170">
        <f ca="1">IFERROR(__xludf.DUMMYFUNCTION("IMPORTRANGE(""https://docs.google.com/spreadsheets/d/1Yj_ptqi66GCucihVvJfMjLAmec39IyEx_6qawtMGysU/edit?usp=sharing"",""สบก!DD60"")"),0)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IFERROR(__xludf.DUMMYFUNCTION("IMPORTRANGE(""https://docs.google.com/spreadsheets/d/1Yj_ptqi66GCucihVvJfMjLAmec39IyEx_6qawtMGysU/edit?usp=sharing"",""สบก!CY60"")"),0)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IFERROR(__xludf.DUMMYFUNCTION("IMPORTRANGE(""https://docs.google.com/spreadsheets/d/1Yj_ptqi66GCucihVvJfMjLAmec39IyEx_6qawtMGysU/edit?usp=sharing"",""สบก!CZ60"")"),0)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IFERROR(__xludf.DUMMYFUNCTION("IMPORTRANGE(""https://docs.google.com/spreadsheets/d/1SX6NBoVAgQJ6U1MVXOaj8PK2l7WJ3RER9xtqwdhxkhw/edit?usp=sharing"",""จันทบุรี!I224"")"),0)</f>
        <v>0</v>
      </c>
      <c r="J324" s="205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IFERROR(__xludf.DUMMYFUNCTION("IMPORTRANGE(""https://docs.google.com/spreadsheets/d/1SX6NBoVAgQJ6U1MVXOaj8PK2l7WJ3RER9xtqwdhxkhw/edit?usp=sharing"",""จันทบุรี!I228"")"),160)</f>
        <v>160</v>
      </c>
      <c r="J328" s="339">
        <f ca="1">IFERROR(__xludf.DUMMYFUNCTION("IMPORTRANGE(""https://docs.google.com/spreadsheets/d/1SX6NBoVAgQJ6U1MVXOaj8PK2l7WJ3RER9xtqwdhxkhw/edit?usp=sharing"",""จันทบุรี!J228"")"),10)</f>
        <v>10</v>
      </c>
      <c r="K328" s="317">
        <f ca="1">IF(I328&gt;0,J328*100/I328,0)</f>
        <v>6.25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682250</v>
      </c>
      <c r="M329" s="152">
        <f t="shared" ca="1" si="98"/>
        <v>375830</v>
      </c>
      <c r="N329" s="152">
        <f t="shared" ca="1" si="98"/>
        <v>238561</v>
      </c>
      <c r="O329" s="151">
        <f t="shared" ref="O329:O331" ca="1" si="99">IF(L329&gt;0,N329*100/L329,0)</f>
        <v>34.966801026016853</v>
      </c>
      <c r="P329" s="151">
        <f t="shared" ref="P329:P331" ca="1" si="100">IF(M329&gt;0,N329*100/M329,0)</f>
        <v>63.47577362105207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682250</v>
      </c>
      <c r="M331" s="157">
        <f t="shared" ca="1" si="102"/>
        <v>375830</v>
      </c>
      <c r="N331" s="157">
        <f t="shared" ca="1" si="102"/>
        <v>238561</v>
      </c>
      <c r="O331" s="156">
        <f t="shared" ca="1" si="99"/>
        <v>34.966801026016853</v>
      </c>
      <c r="P331" s="156">
        <f t="shared" ca="1" si="100"/>
        <v>63.47577362105207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682250</v>
      </c>
      <c r="M333" s="169">
        <f ca="1">IFERROR(__xludf.DUMMYFUNCTION("IMPORTRANGE(""https://docs.google.com/spreadsheets/d/1Yj_ptqi66GCucihVvJfMjLAmec39IyEx_6qawtMGysU/edit?usp=sharing"",""สบก!DL60"")"),375830)</f>
        <v>375830</v>
      </c>
      <c r="N333" s="170">
        <f ca="1">IFERROR(__xludf.DUMMYFUNCTION("IMPORTRANGE(""https://docs.google.com/spreadsheets/d/1Yj_ptqi66GCucihVvJfMjLAmec39IyEx_6qawtMGysU/edit?usp=sharing"",""สบก!DM60"")"),238561)</f>
        <v>238561</v>
      </c>
      <c r="O333" s="170">
        <f ca="1">IF(L333&gt;0,N333*100/L333,0)</f>
        <v>34.966801026016853</v>
      </c>
      <c r="P333" s="170">
        <f ca="1">IF(M333&gt;0,N333*100/M333,0)</f>
        <v>63.47577362105207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IFERROR(__xludf.DUMMYFUNCTION("IMPORTRANGE(""https://docs.google.com/spreadsheets/d/1Yj_ptqi66GCucihVvJfMjLAmec39IyEx_6qawtMGysU/edit?usp=sharing"",""สบก!DH60"")"),306000)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IFERROR(__xludf.DUMMYFUNCTION("IMPORTRANGE(""https://docs.google.com/spreadsheets/d/1Yj_ptqi66GCucihVvJfMjLAmec39IyEx_6qawtMGysU/edit?usp=sharing"",""สบก!DI60"")"),376250)</f>
        <v>376250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IFERROR(__xludf.DUMMYFUNCTION("IMPORTRANGE(""https://docs.google.com/spreadsheets/d/1SX6NBoVAgQJ6U1MVXOaj8PK2l7WJ3RER9xtqwdhxkhw/edit?usp=sharing"",""จันทบุรี!I234"")"),0)</f>
        <v>0</v>
      </c>
      <c r="J339" s="189">
        <f ca="1">IFERROR(__xludf.DUMMYFUNCTION("IMPORTRANGE(""https://docs.google.com/spreadsheets/d/1SX6NBoVAgQJ6U1MVXOaj8PK2l7WJ3RER9xtqwdhxkhw/edit?usp=sharing"",""จันทบุรี!J234"")"),71)</f>
        <v>71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IFERROR(__xludf.DUMMYFUNCTION("IMPORTRANGE(""https://docs.google.com/spreadsheets/d/1SX6NBoVAgQJ6U1MVXOaj8PK2l7WJ3RER9xtqwdhxkhw/edit?usp=sharing"",""จันทบุรี!I235"")"),2250)</f>
        <v>2250</v>
      </c>
      <c r="J340" s="189">
        <f ca="1">IFERROR(__xludf.DUMMYFUNCTION("IMPORTRANGE(""https://docs.google.com/spreadsheets/d/1SX6NBoVAgQJ6U1MVXOaj8PK2l7WJ3RER9xtqwdhxkhw/edit?usp=sharing"",""จันทบุรี!J235"")"),1224.45)</f>
        <v>1224.45</v>
      </c>
      <c r="K340" s="342">
        <f t="shared" ca="1" si="103"/>
        <v>54.42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IFERROR(__xludf.DUMMYFUNCTION("IMPORTRANGE(""https://docs.google.com/spreadsheets/d/1SX6NBoVAgQJ6U1MVXOaj8PK2l7WJ3RER9xtqwdhxkhw/edit?usp=sharing"",""จันทบุรี!I236"")"),160)</f>
        <v>160</v>
      </c>
      <c r="J341" s="189">
        <f ca="1">IFERROR(__xludf.DUMMYFUNCTION("IMPORTRANGE(""https://docs.google.com/spreadsheets/d/1SX6NBoVAgQJ6U1MVXOaj8PK2l7WJ3RER9xtqwdhxkhw/edit?usp=sharing"",""จันทบุรี!J236"")"),16)</f>
        <v>16</v>
      </c>
      <c r="K341" s="342">
        <f t="shared" ca="1" si="103"/>
        <v>10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9">
        <f ca="1">IFERROR(__xludf.DUMMYFUNCTION("IMPORTRANGE(""https://docs.google.com/spreadsheets/d/1SX6NBoVAgQJ6U1MVXOaj8PK2l7WJ3RER9xtqwdhxkhw/edit?usp=sharing"",""จันทบุรี!J237"")"),217.85)</f>
        <v>217.85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IFERROR(__xludf.DUMMYFUNCTION("IMPORTRANGE(""https://docs.google.com/spreadsheets/d/1SX6NBoVAgQJ6U1MVXOaj8PK2l7WJ3RER9xtqwdhxkhw/edit?usp=sharing"",""จันทบุรี!I238"")"),160)</f>
        <v>160</v>
      </c>
      <c r="J343" s="189">
        <f ca="1">IFERROR(__xludf.DUMMYFUNCTION("IMPORTRANGE(""https://docs.google.com/spreadsheets/d/1SX6NBoVAgQJ6U1MVXOaj8PK2l7WJ3RER9xtqwdhxkhw/edit?usp=sharing"",""จันทบุรี!J238"")"),0)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9">
        <f ca="1">IFERROR(__xludf.DUMMYFUNCTION("IMPORTRANGE(""https://docs.google.com/spreadsheets/d/1SX6NBoVAgQJ6U1MVXOaj8PK2l7WJ3RER9xtqwdhxkhw/edit?usp=sharing"",""จันทบุรี!J239"")"),0)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IFERROR(__xludf.DUMMYFUNCTION("IMPORTRANGE(""https://docs.google.com/spreadsheets/d/1SX6NBoVAgQJ6U1MVXOaj8PK2l7WJ3RER9xtqwdhxkhw/edit?usp=sharing"",""จันทบุรี!I240"")"),160)</f>
        <v>160</v>
      </c>
      <c r="J345" s="189">
        <f ca="1">IFERROR(__xludf.DUMMYFUNCTION("IMPORTRANGE(""https://docs.google.com/spreadsheets/d/1SX6NBoVAgQJ6U1MVXOaj8PK2l7WJ3RER9xtqwdhxkhw/edit?usp=sharing"",""จันทบุรี!J240"")"),10)</f>
        <v>10</v>
      </c>
      <c r="K345" s="342">
        <f t="shared" ca="1" si="103"/>
        <v>6.25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9">
        <f ca="1">IFERROR(__xludf.DUMMYFUNCTION("IMPORTRANGE(""https://docs.google.com/spreadsheets/d/1SX6NBoVAgQJ6U1MVXOaj8PK2l7WJ3RER9xtqwdhxkhw/edit?usp=sharing"",""จันทบุรี!J241"")"),129.33)</f>
        <v>129.33000000000001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IFERROR(__xludf.DUMMYFUNCTION("IMPORTRANGE(""https://docs.google.com/spreadsheets/d/1SX6NBoVAgQJ6U1MVXOaj8PK2l7WJ3RER9xtqwdhxkhw/edit?usp=sharing"",""จันทบุรี!L242"")"),1032223)</f>
        <v>1032223</v>
      </c>
      <c r="M347" s="358"/>
      <c r="N347" s="358">
        <f ca="1">IFERROR(__xludf.DUMMYFUNCTION("IMPORTRANGE(""https://docs.google.com/spreadsheets/d/1SX6NBoVAgQJ6U1MVXOaj8PK2l7WJ3RER9xtqwdhxkhw/edit?usp=sharing"",""จันทบุรี!M242"")"),171909)</f>
        <v>171909</v>
      </c>
      <c r="O347" s="358">
        <f ca="1">+IF(L347&gt;0,N347*100/L347,0)</f>
        <v>16.654250099058054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IFERROR(__xludf.DUMMYFUNCTION("IMPORTRANGE(""https://docs.google.com/spreadsheets/d/1SX6NBoVAgQJ6U1MVXOaj8PK2l7WJ3RER9xtqwdhxkhw/edit?usp=sharing"",""จันทบุรี!L246"")"),0)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IFERROR(__xludf.DUMMYFUNCTION("IMPORTRANGE(""https://docs.google.com/spreadsheets/d/1SX6NBoVAgQJ6U1MVXOaj8PK2l7WJ3RER9xtqwdhxkhw/edit?usp=sharing"",""จันทบุรี!M246"")"),0)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IFERROR(__xludf.DUMMYFUNCTION("IMPORTRANGE(""https://docs.google.com/spreadsheets/d/1SX6NBoVAgQJ6U1MVXOaj8PK2l7WJ3RER9xtqwdhxkhw/edit?usp=sharing"",""จันทบุรี!L247"")"),0)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IFERROR(__xludf.DUMMYFUNCTION("IMPORTRANGE(""https://docs.google.com/spreadsheets/d/1SX6NBoVAgQJ6U1MVXOaj8PK2l7WJ3RER9xtqwdhxkhw/edit?usp=sharing"",""จันทบุรี!M247"")"),0)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IFERROR(__xludf.DUMMYFUNCTION("IMPORTRANGE(""https://docs.google.com/spreadsheets/d/1SX6NBoVAgQJ6U1MVXOaj8PK2l7WJ3RER9xtqwdhxkhw/edit?usp=sharing"",""จันทบุรี!L248"")"),0)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IFERROR(__xludf.DUMMYFUNCTION("IMPORTRANGE(""https://docs.google.com/spreadsheets/d/1SX6NBoVAgQJ6U1MVXOaj8PK2l7WJ3RER9xtqwdhxkhw/edit?usp=sharing"",""จันทบุรี!M248"")"),0)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IFERROR(__xludf.DUMMYFUNCTION("IMPORTRANGE(""https://docs.google.com/spreadsheets/d/1SX6NBoVAgQJ6U1MVXOaj8PK2l7WJ3RER9xtqwdhxkhw/edit?usp=sharing"",""จันทบุรี!L249"")"),0)</f>
        <v>0</v>
      </c>
      <c r="M354" s="170"/>
      <c r="N354" s="169">
        <f ca="1">IFERROR(__xludf.DUMMYFUNCTION("IMPORTRANGE(""https://docs.google.com/spreadsheets/d/1SX6NBoVAgQJ6U1MVXOaj8PK2l7WJ3RER9xtqwdhxkhw/edit?usp=sharing"",""จันทบุรี!M249"")"),0)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IFERROR(__xludf.DUMMYFUNCTION("IMPORTRANGE(""https://docs.google.com/spreadsheets/d/1SX6NBoVAgQJ6U1MVXOaj8PK2l7WJ3RER9xtqwdhxkhw/edit?usp=sharing"",""จันทบุรี!J255"")"),0)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IFERROR(__xludf.DUMMYFUNCTION("IMPORTRANGE(""https://docs.google.com/spreadsheets/d/1SX6NBoVAgQJ6U1MVXOaj8PK2l7WJ3RER9xtqwdhxkhw/edit?usp=sharing"",""จันทบุรี!J256"")"),0)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IFERROR(__xludf.DUMMYFUNCTION("IMPORTRANGE(""https://docs.google.com/spreadsheets/d/1SX6NBoVAgQJ6U1MVXOaj8PK2l7WJ3RER9xtqwdhxkhw/edit?usp=sharing"",""จันทบุรี!J257"")"),0)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IFERROR(__xludf.DUMMYFUNCTION("IMPORTRANGE(""https://docs.google.com/spreadsheets/d/1SX6NBoVAgQJ6U1MVXOaj8PK2l7WJ3RER9xtqwdhxkhw/edit?usp=sharing"",""จันทบุรี!J258"")"),0)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IFERROR(__xludf.DUMMYFUNCTION("IMPORTRANGE(""https://docs.google.com/spreadsheets/d/1SX6NBoVAgQJ6U1MVXOaj8PK2l7WJ3RER9xtqwdhxkhw/edit?usp=sharing"",""จันทบุรี!J166"")"),0)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IFERROR(__xludf.DUMMYFUNCTION("IMPORTRANGE(""https://docs.google.com/spreadsheets/d/1SX6NBoVAgQJ6U1MVXOaj8PK2l7WJ3RER9xtqwdhxkhw/edit?usp=sharing"",""จันทบุรี!J166"")"),0)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IFERROR(__xludf.DUMMYFUNCTION("IMPORTRANGE(""https://docs.google.com/spreadsheets/d/1SX6NBoVAgQJ6U1MVXOaj8PK2l7WJ3RER9xtqwdhxkhw/edit?usp=sharing"",""จันทบุรี!J166"")"),0)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IFERROR(__xludf.DUMMYFUNCTION("IMPORTRANGE(""https://docs.google.com/spreadsheets/d/1SX6NBoVAgQJ6U1MVXOaj8PK2l7WJ3RER9xtqwdhxkhw/edit?usp=sharing"",""จันทบุรี!J166"")"),0)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IFERROR(__xludf.DUMMYFUNCTION("IMPORTRANGE(""https://docs.google.com/spreadsheets/d/1SX6NBoVAgQJ6U1MVXOaj8PK2l7WJ3RER9xtqwdhxkhw/edit?usp=sharing"",""จันทบุรี!I263"")"),0)</f>
        <v>0</v>
      </c>
      <c r="J368" s="189">
        <f ca="1">IFERROR(__xludf.DUMMYFUNCTION("IMPORTRANGE(""https://docs.google.com/spreadsheets/d/1SX6NBoVAgQJ6U1MVXOaj8PK2l7WJ3RER9xtqwdhxkhw/edit?usp=sharing"",""จันทบุรี!J263"")"),0)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IFERROR(__xludf.DUMMYFUNCTION("IMPORTRANGE(""https://docs.google.com/spreadsheets/d/1SX6NBoVAgQJ6U1MVXOaj8PK2l7WJ3RER9xtqwdhxkhw/edit?usp=sharing"",""จันทบุรี!I164"")"),0)</f>
        <v>0</v>
      </c>
      <c r="J369" s="205">
        <f ca="1">IFERROR(__xludf.DUMMYFUNCTION("IMPORTRANGE(""https://docs.google.com/spreadsheets/d/1SX6NBoVAgQJ6U1MVXOaj8PK2l7WJ3RER9xtqwdhxkhw/edit?usp=sharing"",""จันทบุรี!J164"")"),0)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IFERROR(__xludf.DUMMYFUNCTION("IMPORTRANGE(""https://docs.google.com/spreadsheets/d/1SX6NBoVAgQJ6U1MVXOaj8PK2l7WJ3RER9xtqwdhxkhw/edit?usp=sharing"",""จันทบุรี!I265"")"),0)</f>
        <v>0</v>
      </c>
      <c r="J370" s="205">
        <f ca="1">IFERROR(__xludf.DUMMYFUNCTION("IMPORTRANGE(""https://docs.google.com/spreadsheets/d/1SX6NBoVAgQJ6U1MVXOaj8PK2l7WJ3RER9xtqwdhxkhw/edit?usp=sharing"",""จันทบุรี!J265"")"),0)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IFERROR(__xludf.DUMMYFUNCTION("IMPORTRANGE(""https://docs.google.com/spreadsheets/d/1SX6NBoVAgQJ6U1MVXOaj8PK2l7WJ3RER9xtqwdhxkhw/edit?usp=sharing"",""จันทบุรี!I164"")"),0)</f>
        <v>0</v>
      </c>
      <c r="J371" s="190">
        <f ca="1">IFERROR(__xludf.DUMMYFUNCTION("IMPORTRANGE(""https://docs.google.com/spreadsheets/d/1SX6NBoVAgQJ6U1MVXOaj8PK2l7WJ3RER9xtqwdhxkhw/edit?usp=sharing"",""จันทบุรี!J164"")"),0)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IFERROR(__xludf.DUMMYFUNCTION("IMPORTRANGE(""https://docs.google.com/spreadsheets/d/1SX6NBoVAgQJ6U1MVXOaj8PK2l7WJ3RER9xtqwdhxkhw/edit?usp=sharing"",""จันทบุรี!I267"")"),0)</f>
        <v>0</v>
      </c>
      <c r="J372" s="190">
        <f ca="1">IFERROR(__xludf.DUMMYFUNCTION("IMPORTRANGE(""https://docs.google.com/spreadsheets/d/1SX6NBoVAgQJ6U1MVXOaj8PK2l7WJ3RER9xtqwdhxkhw/edit?usp=sharing"",""จันทบุรี!J267"")"),0)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IFERROR(__xludf.DUMMYFUNCTION("IMPORTRANGE(""https://docs.google.com/spreadsheets/d/1SX6NBoVAgQJ6U1MVXOaj8PK2l7WJ3RER9xtqwdhxkhw/edit?usp=sharing"",""จันทบุรี!I164"")"),0)</f>
        <v>0</v>
      </c>
      <c r="J373" s="205">
        <f ca="1">IFERROR(__xludf.DUMMYFUNCTION("IMPORTRANGE(""https://docs.google.com/spreadsheets/d/1SX6NBoVAgQJ6U1MVXOaj8PK2l7WJ3RER9xtqwdhxkhw/edit?usp=sharing"",""จันทบุรี!J164"")"),0)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IFERROR(__xludf.DUMMYFUNCTION("IMPORTRANGE(""https://docs.google.com/spreadsheets/d/1SX6NBoVAgQJ6U1MVXOaj8PK2l7WJ3RER9xtqwdhxkhw/edit?usp=sharing"",""จันทบุรี!I164"")"),0)</f>
        <v>0</v>
      </c>
      <c r="J374" s="189">
        <f ca="1">IFERROR(__xludf.DUMMYFUNCTION("IMPORTRANGE(""https://docs.google.com/spreadsheets/d/1SX6NBoVAgQJ6U1MVXOaj8PK2l7WJ3RER9xtqwdhxkhw/edit?usp=sharing"",""จันทบุรี!J164"")"),0)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IFERROR(__xludf.DUMMYFUNCTION("IMPORTRANGE(""https://docs.google.com/spreadsheets/d/1SX6NBoVAgQJ6U1MVXOaj8PK2l7WJ3RER9xtqwdhxkhw/edit?usp=sharing"",""จันทบุรี!I270"")"),0)</f>
        <v>0</v>
      </c>
      <c r="J375" s="189">
        <f ca="1">IFERROR(__xludf.DUMMYFUNCTION("IMPORTRANGE(""https://docs.google.com/spreadsheets/d/1SX6NBoVAgQJ6U1MVXOaj8PK2l7WJ3RER9xtqwdhxkhw/edit?usp=sharing"",""จันทบุรี!J270"")"),0)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IFERROR(__xludf.DUMMYFUNCTION("IMPORTRANGE(""https://docs.google.com/spreadsheets/d/1SX6NBoVAgQJ6U1MVXOaj8PK2l7WJ3RER9xtqwdhxkhw/edit?usp=sharing"",""จันทบุรี!I271"")"),0)</f>
        <v>0</v>
      </c>
      <c r="J376" s="190">
        <f ca="1">IFERROR(__xludf.DUMMYFUNCTION("IMPORTRANGE(""https://docs.google.com/spreadsheets/d/1SX6NBoVAgQJ6U1MVXOaj8PK2l7WJ3RER9xtqwdhxkhw/edit?usp=sharing"",""จันทบุรี!J271"")"),0)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IFERROR(__xludf.DUMMYFUNCTION("IMPORTRANGE(""https://docs.google.com/spreadsheets/d/1SX6NBoVAgQJ6U1MVXOaj8PK2l7WJ3RER9xtqwdhxkhw/edit?usp=sharing"",""จันทบุรี!I272"")"),0)</f>
        <v>0</v>
      </c>
      <c r="J377" s="205">
        <f ca="1">IFERROR(__xludf.DUMMYFUNCTION("IMPORTRANGE(""https://docs.google.com/spreadsheets/d/1SX6NBoVAgQJ6U1MVXOaj8PK2l7WJ3RER9xtqwdhxkhw/edit?usp=sharing"",""จันทบุรี!J272"")"),0)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IFERROR(__xludf.DUMMYFUNCTION("IMPORTRANGE(""https://docs.google.com/spreadsheets/d/1SX6NBoVAgQJ6U1MVXOaj8PK2l7WJ3RER9xtqwdhxkhw/edit?usp=sharing"",""จันทบุรี!J273"")"),0)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IFERROR(__xludf.DUMMYFUNCTION("IMPORTRANGE(""https://docs.google.com/spreadsheets/d/1SX6NBoVAgQJ6U1MVXOaj8PK2l7WJ3RER9xtqwdhxkhw/edit?usp=sharing"",""จันทบุรี!M275"")"),76310)</f>
        <v>76310</v>
      </c>
      <c r="O380" s="373">
        <f ca="1">+IF(L380&gt;0,N380*100/L380,0)</f>
        <v>16.584083105141914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IFERROR(__xludf.DUMMYFUNCTION("IMPORTRANGE(""https://docs.google.com/spreadsheets/d/1SX6NBoVAgQJ6U1MVXOaj8PK2l7WJ3RER9xtqwdhxkhw/edit?usp=sharing"",""จันทบุรี!L277"")"),0)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IFERROR(__xludf.DUMMYFUNCTION("IMPORTRANGE(""https://docs.google.com/spreadsheets/d/1SX6NBoVAgQJ6U1MVXOaj8PK2l7WJ3RER9xtqwdhxkhw/edit?usp=sharing"",""จันทบุรี!M277"")"),0)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IFERROR(__xludf.DUMMYFUNCTION("IMPORTRANGE(""https://docs.google.com/spreadsheets/d/1SX6NBoVAgQJ6U1MVXOaj8PK2l7WJ3RER9xtqwdhxkhw/edit?usp=sharing"",""จันทบุรี!L278"")"),460140)</f>
        <v>460140</v>
      </c>
      <c r="M383" s="167"/>
      <c r="N383" s="167">
        <f ca="1">IFERROR(__xludf.DUMMYFUNCTION("IMPORTRANGE(""https://docs.google.com/spreadsheets/d/1SX6NBoVAgQJ6U1MVXOaj8PK2l7WJ3RER9xtqwdhxkhw/edit?usp=sharing"",""จันทบุรี!M278"")"),76310)</f>
        <v>76310</v>
      </c>
      <c r="O383" s="167">
        <f t="shared" ca="1" si="109"/>
        <v>16.584083105141914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IFERROR(__xludf.DUMMYFUNCTION("IMPORTRANGE(""https://docs.google.com/spreadsheets/d/1SX6NBoVAgQJ6U1MVXOaj8PK2l7WJ3RER9xtqwdhxkhw/edit?usp=sharing"",""จันทบุรี!L279"")"),0)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IFERROR(__xludf.DUMMYFUNCTION("IMPORTRANGE(""https://docs.google.com/spreadsheets/d/1SX6NBoVAgQJ6U1MVXOaj8PK2l7WJ3RER9xtqwdhxkhw/edit?usp=sharing"",""จันทบุรี!M279"")"),0)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IFERROR(__xludf.DUMMYFUNCTION("IMPORTRANGE(""https://docs.google.com/spreadsheets/d/1SX6NBoVAgQJ6U1MVXOaj8PK2l7WJ3RER9xtqwdhxkhw/edit?usp=sharing"",""จันทบุรี!L280"")"),460140)</f>
        <v>460140</v>
      </c>
      <c r="M385" s="170"/>
      <c r="N385" s="169">
        <f ca="1">IFERROR(__xludf.DUMMYFUNCTION("IMPORTRANGE(""https://docs.google.com/spreadsheets/d/1SX6NBoVAgQJ6U1MVXOaj8PK2l7WJ3RER9xtqwdhxkhw/edit?usp=sharing"",""จันทบุรี!M280"")"),76310)</f>
        <v>76310</v>
      </c>
      <c r="O385" s="170">
        <f t="shared" ca="1" si="109"/>
        <v>16.584083105141914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IFERROR(__xludf.DUMMYFUNCTION("IMPORTRANGE(""https://docs.google.com/spreadsheets/d/1SX6NBoVAgQJ6U1MVXOaj8PK2l7WJ3RER9xtqwdhxkhw/edit?usp=sharing"",""จันทบุรี!M281"")"),61330)</f>
        <v>61330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IFERROR(__xludf.DUMMYFUNCTION("IMPORTRANGE(""https://docs.google.com/spreadsheets/d/1SX6NBoVAgQJ6U1MVXOaj8PK2l7WJ3RER9xtqwdhxkhw/edit?usp=sharing"",""จันทบุรี!M282"")"),0)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IFERROR(__xludf.DUMMYFUNCTION("IMPORTRANGE(""https://docs.google.com/spreadsheets/d/1SX6NBoVAgQJ6U1MVXOaj8PK2l7WJ3RER9xtqwdhxkhw/edit?usp=sharing"",""จันทบุรี!M284"")"),14980)</f>
        <v>14980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IFERROR(__xludf.DUMMYFUNCTION("IMPORTRANGE(""https://docs.google.com/spreadsheets/d/1SX6NBoVAgQJ6U1MVXOaj8PK2l7WJ3RER9xtqwdhxkhw/edit?usp=sharing"",""จันทบุรี!J286"")"),0)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IFERROR(__xludf.DUMMYFUNCTION("IMPORTRANGE(""https://docs.google.com/spreadsheets/d/1SX6NBoVAgQJ6U1MVXOaj8PK2l7WJ3RER9xtqwdhxkhw/edit?usp=sharing"",""จันทบุรี!J287"")"),1)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IFERROR(__xludf.DUMMYFUNCTION("IMPORTRANGE(""https://docs.google.com/spreadsheets/d/1SX6NBoVAgQJ6U1MVXOaj8PK2l7WJ3RER9xtqwdhxkhw/edit?usp=sharing"",""จันทบุรี!J288"")"),1)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IFERROR(__xludf.DUMMYFUNCTION("IMPORTRANGE(""https://docs.google.com/spreadsheets/d/1SX6NBoVAgQJ6U1MVXOaj8PK2l7WJ3RER9xtqwdhxkhw/edit?usp=sharing"",""จันทบุรี!J289"")"),1)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IFERROR(__xludf.DUMMYFUNCTION("IMPORTRANGE(""https://docs.google.com/spreadsheets/d/1SX6NBoVAgQJ6U1MVXOaj8PK2l7WJ3RER9xtqwdhxkhw/edit?usp=sharing"",""จันทบุรี!I291"")"),50)</f>
        <v>50</v>
      </c>
      <c r="J396" s="199">
        <f ca="1">IFERROR(__xludf.DUMMYFUNCTION("IMPORTRANGE(""https://docs.google.com/spreadsheets/d/1SX6NBoVAgQJ6U1MVXOaj8PK2l7WJ3RER9xtqwdhxkhw/edit?usp=sharing"",""จันทบุรี!J291"")"),50)</f>
        <v>50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IFERROR(__xludf.DUMMYFUNCTION("IMPORTRANGE(""https://docs.google.com/spreadsheets/d/1SX6NBoVAgQJ6U1MVXOaj8PK2l7WJ3RER9xtqwdhxkhw/edit?usp=sharing"",""จันทบุรี!I292"")"),500)</f>
        <v>500</v>
      </c>
      <c r="J397" s="199">
        <f ca="1">IFERROR(__xludf.DUMMYFUNCTION("IMPORTRANGE(""https://docs.google.com/spreadsheets/d/1SX6NBoVAgQJ6U1MVXOaj8PK2l7WJ3RER9xtqwdhxkhw/edit?usp=sharing"",""จันทบุรี!J292"")"),0)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IFERROR(__xludf.DUMMYFUNCTION("IMPORTRANGE(""https://docs.google.com/spreadsheets/d/1SX6NBoVAgQJ6U1MVXOaj8PK2l7WJ3RER9xtqwdhxkhw/edit?usp=sharing"",""จันทบุรี!I293"")"),50)</f>
        <v>50</v>
      </c>
      <c r="J398" s="199">
        <f ca="1">IFERROR(__xludf.DUMMYFUNCTION("IMPORTRANGE(""https://docs.google.com/spreadsheets/d/1SX6NBoVAgQJ6U1MVXOaj8PK2l7WJ3RER9xtqwdhxkhw/edit?usp=sharing"",""จันทบุรี!J293"")"),0)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IFERROR(__xludf.DUMMYFUNCTION("IMPORTRANGE(""https://docs.google.com/spreadsheets/d/1SX6NBoVAgQJ6U1MVXOaj8PK2l7WJ3RER9xtqwdhxkhw/edit?usp=sharing"",""จันทบุรี!J294"")"),0)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IFERROR(__xludf.DUMMYFUNCTION("IMPORTRANGE(""https://docs.google.com/spreadsheets/d/1SX6NBoVAgQJ6U1MVXOaj8PK2l7WJ3RER9xtqwdhxkhw/edit?usp=sharing"",""จันทบุรี!J295"")"),0)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IFERROR(__xludf.DUMMYFUNCTION("IMPORTRANGE(""https://docs.google.com/spreadsheets/d/1SX6NBoVAgQJ6U1MVXOaj8PK2l7WJ3RER9xtqwdhxkhw/edit?usp=sharing"",""จันทบุรี!J296"")"),60)</f>
        <v>60</v>
      </c>
      <c r="K401" s="372">
        <f t="shared" ref="K401:K402" ca="1" si="111">IF(I401&gt;0,J401*100/I401,0)</f>
        <v>50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IFERROR(__xludf.DUMMYFUNCTION("IMPORTRANGE(""https://docs.google.com/spreadsheets/d/1SX6NBoVAgQJ6U1MVXOaj8PK2l7WJ3RER9xtqwdhxkhw/edit?usp=sharing"",""จันทบุรี!M296"")"),17120)</f>
        <v>17120</v>
      </c>
      <c r="O401" s="373">
        <f ca="1">+IF(L401&gt;0,N401*100/L401,0)</f>
        <v>11.842833425567239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IFERROR(__xludf.DUMMYFUNCTION("IMPORTRANGE(""https://docs.google.com/spreadsheets/d/1SX6NBoVAgQJ6U1MVXOaj8PK2l7WJ3RER9xtqwdhxkhw/edit?usp=sharing"",""จันทบุรี!J297"")"),20)</f>
        <v>20</v>
      </c>
      <c r="K402" s="372">
        <f t="shared" ca="1" si="111"/>
        <v>50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IFERROR(__xludf.DUMMYFUNCTION("IMPORTRANGE(""https://docs.google.com/spreadsheets/d/1SX6NBoVAgQJ6U1MVXOaj8PK2l7WJ3RER9xtqwdhxkhw/edit?usp=sharing"",""จันทบุรี!L298"")"),0)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IFERROR(__xludf.DUMMYFUNCTION("IMPORTRANGE(""https://docs.google.com/spreadsheets/d/1SX6NBoVAgQJ6U1MVXOaj8PK2l7WJ3RER9xtqwdhxkhw/edit?usp=sharing"",""จันทบุรี!M298"")"),0)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IFERROR(__xludf.DUMMYFUNCTION("IMPORTRANGE(""https://docs.google.com/spreadsheets/d/1SX6NBoVAgQJ6U1MVXOaj8PK2l7WJ3RER9xtqwdhxkhw/edit?usp=sharing"",""จันทบุรี!L299"")"),144560)</f>
        <v>144560</v>
      </c>
      <c r="M404" s="167"/>
      <c r="N404" s="170">
        <f ca="1">IFERROR(__xludf.DUMMYFUNCTION("IMPORTRANGE(""https://docs.google.com/spreadsheets/d/1SX6NBoVAgQJ6U1MVXOaj8PK2l7WJ3RER9xtqwdhxkhw/edit?usp=sharing"",""จันทบุรี!M299"")"),17120)</f>
        <v>17120</v>
      </c>
      <c r="O404" s="170">
        <f t="shared" ca="1" si="112"/>
        <v>11.842833425567239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IFERROR(__xludf.DUMMYFUNCTION("IMPORTRANGE(""https://docs.google.com/spreadsheets/d/1SX6NBoVAgQJ6U1MVXOaj8PK2l7WJ3RER9xtqwdhxkhw/edit?usp=sharing"",""จันทบุรี!L300"")"),0)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IFERROR(__xludf.DUMMYFUNCTION("IMPORTRANGE(""https://docs.google.com/spreadsheets/d/1SX6NBoVAgQJ6U1MVXOaj8PK2l7WJ3RER9xtqwdhxkhw/edit?usp=sharing"",""จันทบุรี!M300"")"),0)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IFERROR(__xludf.DUMMYFUNCTION("IMPORTRANGE(""https://docs.google.com/spreadsheets/d/1SX6NBoVAgQJ6U1MVXOaj8PK2l7WJ3RER9xtqwdhxkhw/edit?usp=sharing"",""จันทบุรี!L301"")"),144560)</f>
        <v>144560</v>
      </c>
      <c r="M406" s="170"/>
      <c r="N406" s="170">
        <f ca="1">IFERROR(__xludf.DUMMYFUNCTION("IMPORTRANGE(""https://docs.google.com/spreadsheets/d/1SX6NBoVAgQJ6U1MVXOaj8PK2l7WJ3RER9xtqwdhxkhw/edit?usp=sharing"",""จันทบุรี!M301"")"),17120)</f>
        <v>17120</v>
      </c>
      <c r="O406" s="170">
        <f t="shared" ca="1" si="112"/>
        <v>11.842833425567239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IFERROR(__xludf.DUMMYFUNCTION("IMPORTRANGE(""https://docs.google.com/spreadsheets/d/1SX6NBoVAgQJ6U1MVXOaj8PK2l7WJ3RER9xtqwdhxkhw/edit?usp=sharing"",""จันทบุรี!M302"")"),17000)</f>
        <v>17000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IFERROR(__xludf.DUMMYFUNCTION("IMPORTRANGE(""https://docs.google.com/spreadsheets/d/1SX6NBoVAgQJ6U1MVXOaj8PK2l7WJ3RER9xtqwdhxkhw/edit?usp=sharing"",""จันทบุรี!M305"")"),120)</f>
        <v>120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IFERROR(__xludf.DUMMYFUNCTION("IMPORTRANGE(""https://docs.google.com/spreadsheets/d/1SX6NBoVAgQJ6U1MVXOaj8PK2l7WJ3RER9xtqwdhxkhw/edit?usp=sharing"",""จันทบุรี!J307"")"),0)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IFERROR(__xludf.DUMMYFUNCTION("IMPORTRANGE(""https://docs.google.com/spreadsheets/d/1SX6NBoVAgQJ6U1MVXOaj8PK2l7WJ3RER9xtqwdhxkhw/edit?usp=sharing"",""จันทบุรี!J308"")"),1)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IFERROR(__xludf.DUMMYFUNCTION("IMPORTRANGE(""https://docs.google.com/spreadsheets/d/1SX6NBoVAgQJ6U1MVXOaj8PK2l7WJ3RER9xtqwdhxkhw/edit?usp=sharing"",""จันทบุรี!J309"")"),1)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IFERROR(__xludf.DUMMYFUNCTION("IMPORTRANGE(""https://docs.google.com/spreadsheets/d/1SX6NBoVAgQJ6U1MVXOaj8PK2l7WJ3RER9xtqwdhxkhw/edit?usp=sharing"",""จันทบุรี!J310"")"),1)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IFERROR(__xludf.DUMMYFUNCTION("IMPORTRANGE(""https://docs.google.com/spreadsheets/d/1SX6NBoVAgQJ6U1MVXOaj8PK2l7WJ3RER9xtqwdhxkhw/edit?usp=sharing"",""จันทบุรี!I311"")"),40)</f>
        <v>40</v>
      </c>
      <c r="J416" s="202">
        <f ca="1">IFERROR(__xludf.DUMMYFUNCTION("IMPORTRANGE(""https://docs.google.com/spreadsheets/d/1SX6NBoVAgQJ6U1MVXOaj8PK2l7WJ3RER9xtqwdhxkhw/edit?usp=sharing"",""จันทบุรี!J311"")"),20)</f>
        <v>20</v>
      </c>
      <c r="K416" s="203">
        <f t="shared" ref="K416:K432" ca="1" si="113">IF(I416&gt;0,J416*100/I416,0)</f>
        <v>50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IFERROR(__xludf.DUMMYFUNCTION("IMPORTRANGE(""https://docs.google.com/spreadsheets/d/1SX6NBoVAgQJ6U1MVXOaj8PK2l7WJ3RER9xtqwdhxkhw/edit?usp=sharing"",""จันทบุรี!J328"")"),0)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IFERROR(__xludf.DUMMYFUNCTION("IMPORTRANGE(""https://docs.google.com/spreadsheets/d/1SX6NBoVAgQJ6U1MVXOaj8PK2l7WJ3RER9xtqwdhxkhw/edit?usp=sharing"",""จันทบุรี!J329"")"),0)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IFERROR(__xludf.DUMMYFUNCTION("IMPORTRANGE(""https://docs.google.com/spreadsheets/d/1SX6NBoVAgQJ6U1MVXOaj8PK2l7WJ3RER9xtqwdhxkhw/edit?usp=sharing"",""จันทบุรี!M330"")"),15280)</f>
        <v>15280</v>
      </c>
      <c r="O435" s="412">
        <f t="shared" ref="O435:O439" ca="1" si="114">+IF(L435&gt;0,N435*100/L435,0)</f>
        <v>15.28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IFERROR(__xludf.DUMMYFUNCTION("IMPORTRANGE(""https://docs.google.com/spreadsheets/d/1SX6NBoVAgQJ6U1MVXOaj8PK2l7WJ3RER9xtqwdhxkhw/edit?usp=sharing"",""จันทบุรี!L331"")"),0)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IFERROR(__xludf.DUMMYFUNCTION("IMPORTRANGE(""https://docs.google.com/spreadsheets/d/1SX6NBoVAgQJ6U1MVXOaj8PK2l7WJ3RER9xtqwdhxkhw/edit?usp=sharing"",""จันทบุรี!M331"")"),0)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IFERROR(__xludf.DUMMYFUNCTION("IMPORTRANGE(""https://docs.google.com/spreadsheets/d/1SX6NBoVAgQJ6U1MVXOaj8PK2l7WJ3RER9xtqwdhxkhw/edit?usp=sharing"",""จันทบุรี!L332"")"),100000)</f>
        <v>100000</v>
      </c>
      <c r="M437" s="167"/>
      <c r="N437" s="170">
        <f ca="1">IFERROR(__xludf.DUMMYFUNCTION("IMPORTRANGE(""https://docs.google.com/spreadsheets/d/1SX6NBoVAgQJ6U1MVXOaj8PK2l7WJ3RER9xtqwdhxkhw/edit?usp=sharing"",""จันทบุรี!M332"")"),15280)</f>
        <v>15280</v>
      </c>
      <c r="O437" s="170">
        <f t="shared" ca="1" si="114"/>
        <v>15.28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IFERROR(__xludf.DUMMYFUNCTION("IMPORTRANGE(""https://docs.google.com/spreadsheets/d/1SX6NBoVAgQJ6U1MVXOaj8PK2l7WJ3RER9xtqwdhxkhw/edit?usp=sharing"",""จันทบุรี!L333"")"),0)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IFERROR(__xludf.DUMMYFUNCTION("IMPORTRANGE(""https://docs.google.com/spreadsheets/d/1SX6NBoVAgQJ6U1MVXOaj8PK2l7WJ3RER9xtqwdhxkhw/edit?usp=sharing"",""จันทบุรี!M333"")"),0)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IFERROR(__xludf.DUMMYFUNCTION("IMPORTRANGE(""https://docs.google.com/spreadsheets/d/1SX6NBoVAgQJ6U1MVXOaj8PK2l7WJ3RER9xtqwdhxkhw/edit?usp=sharing"",""จันทบุรี!L334"")"),100000)</f>
        <v>100000</v>
      </c>
      <c r="M439" s="170"/>
      <c r="N439" s="170">
        <f ca="1">IFERROR(__xludf.DUMMYFUNCTION("IMPORTRANGE(""https://docs.google.com/spreadsheets/d/1SX6NBoVAgQJ6U1MVXOaj8PK2l7WJ3RER9xtqwdhxkhw/edit?usp=sharing"",""จันทบุรี!M334"")"),15280)</f>
        <v>15280</v>
      </c>
      <c r="O439" s="170">
        <f t="shared" ca="1" si="114"/>
        <v>15.28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IFERROR(__xludf.DUMMYFUNCTION("IMPORTRANGE(""https://docs.google.com/spreadsheets/d/1SX6NBoVAgQJ6U1MVXOaj8PK2l7WJ3RER9xtqwdhxkhw/edit?usp=sharing"",""จันทบุรี!M335"")"),7240)</f>
        <v>7240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IFERROR(__xludf.DUMMYFUNCTION("IMPORTRANGE(""https://docs.google.com/spreadsheets/d/1SX6NBoVAgQJ6U1MVXOaj8PK2l7WJ3RER9xtqwdhxkhw/edit?usp=sharing"",""จันทบุรี!M338"")"),8040)</f>
        <v>8040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IFERROR(__xludf.DUMMYFUNCTION("IMPORTRANGE(""https://docs.google.com/spreadsheets/d/1SX6NBoVAgQJ6U1MVXOaj8PK2l7WJ3RER9xtqwdhxkhw/edit?usp=sharing"",""จันทบุรี!J342"")"),1)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IFERROR(__xludf.DUMMYFUNCTION("IMPORTRANGE(""https://docs.google.com/spreadsheets/d/1SX6NBoVAgQJ6U1MVXOaj8PK2l7WJ3RER9xtqwdhxkhw/edit?usp=sharing"",""จันทบุรี!J343"")"),1)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2">
        <f ca="1">IFERROR(__xludf.DUMMYFUNCTION("IMPORTRANGE(""https://docs.google.com/spreadsheets/d/1SX6NBoVAgQJ6U1MVXOaj8PK2l7WJ3RER9xtqwdhxkhw/edit?usp=sharing"",""จันทบุรี!J344"")"),0)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IFERROR(__xludf.DUMMYFUNCTION("IMPORTRANGE(""https://docs.google.com/spreadsheets/d/1SX6NBoVAgQJ6U1MVXOaj8PK2l7WJ3RER9xtqwdhxkhw/edit?usp=sharing"",""จันทบุรี!I345"")"),20)</f>
        <v>20</v>
      </c>
      <c r="J450" s="190">
        <f ca="1">IFERROR(__xludf.DUMMYFUNCTION("IMPORTRANGE(""https://docs.google.com/spreadsheets/d/1SX6NBoVAgQJ6U1MVXOaj8PK2l7WJ3RER9xtqwdhxkhw/edit?usp=sharing"",""จันทบุรี!J345"")"),0)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IFERROR(__xludf.DUMMYFUNCTION("IMPORTRANGE(""https://docs.google.com/spreadsheets/d/1SX6NBoVAgQJ6U1MVXOaj8PK2l7WJ3RER9xtqwdhxkhw/edit?usp=sharing"",""จันทบุรี!I346"")"),0)</f>
        <v>0</v>
      </c>
      <c r="J451" s="189">
        <f ca="1">IFERROR(__xludf.DUMMYFUNCTION("IMPORTRANGE(""https://docs.google.com/spreadsheets/d/1SX6NBoVAgQJ6U1MVXOaj8PK2l7WJ3RER9xtqwdhxkhw/edit?usp=sharing"",""จันทบุรี!J346"")"),0)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IFERROR(__xludf.DUMMYFUNCTION("IMPORTRANGE(""https://docs.google.com/spreadsheets/d/1SX6NBoVAgQJ6U1MVXOaj8PK2l7WJ3RER9xtqwdhxkhw/edit?usp=sharing"",""จันทบุรี!I347"")"),0)</f>
        <v>0</v>
      </c>
      <c r="J452" s="189">
        <f ca="1">IFERROR(__xludf.DUMMYFUNCTION("IMPORTRANGE(""https://docs.google.com/spreadsheets/d/1SX6NBoVAgQJ6U1MVXOaj8PK2l7WJ3RER9xtqwdhxkhw/edit?usp=sharing"",""จันทบุรี!J347"")"),0)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IFERROR(__xludf.DUMMYFUNCTION("IMPORTRANGE(""https://docs.google.com/spreadsheets/d/1SX6NBoVAgQJ6U1MVXOaj8PK2l7WJ3RER9xtqwdhxkhw/edit?usp=sharing"",""จันทบุรี!J348"")"),0)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IFERROR(__xludf.DUMMYFUNCTION("IMPORTRANGE(""https://docs.google.com/spreadsheets/d/1SX6NBoVAgQJ6U1MVXOaj8PK2l7WJ3RER9xtqwdhxkhw/edit?usp=sharing"",""จันทบุรี!J349"")"),0)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IFERROR(__xludf.DUMMYFUNCTION("IMPORTRANGE(""https://docs.google.com/spreadsheets/d/1SX6NBoVAgQJ6U1MVXOaj8PK2l7WJ3RER9xtqwdhxkhw/edit?usp=sharing"",""จันทบุรี!L350"")"),162553)</f>
        <v>162553</v>
      </c>
      <c r="M455" s="373"/>
      <c r="N455" s="373">
        <f ca="1">IFERROR(__xludf.DUMMYFUNCTION("IMPORTRANGE(""https://docs.google.com/spreadsheets/d/1SX6NBoVAgQJ6U1MVXOaj8PK2l7WJ3RER9xtqwdhxkhw/edit?usp=sharing"",""จันทบุรี!M350"")"),17600)</f>
        <v>17600</v>
      </c>
      <c r="O455" s="373">
        <f t="shared" ref="O455:O459" ca="1" si="116">+IF(L455&gt;0,N455*100/L455,0)</f>
        <v>10.827237885489655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IFERROR(__xludf.DUMMYFUNCTION("IMPORTRANGE(""https://docs.google.com/spreadsheets/d/1SX6NBoVAgQJ6U1MVXOaj8PK2l7WJ3RER9xtqwdhxkhw/edit?usp=sharing"",""จันทบุรี!L351"")"),0)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IFERROR(__xludf.DUMMYFUNCTION("IMPORTRANGE(""https://docs.google.com/spreadsheets/d/1SX6NBoVAgQJ6U1MVXOaj8PK2l7WJ3RER9xtqwdhxkhw/edit?usp=sharing"",""จันทบุรี!M351"")"),0)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IFERROR(__xludf.DUMMYFUNCTION("IMPORTRANGE(""https://docs.google.com/spreadsheets/d/1SX6NBoVAgQJ6U1MVXOaj8PK2l7WJ3RER9xtqwdhxkhw/edit?usp=sharing"",""จันทบุรี!L352"")"),162553)</f>
        <v>162553</v>
      </c>
      <c r="M457" s="167"/>
      <c r="N457" s="170">
        <f ca="1">IFERROR(__xludf.DUMMYFUNCTION("IMPORTRANGE(""https://docs.google.com/spreadsheets/d/1SX6NBoVAgQJ6U1MVXOaj8PK2l7WJ3RER9xtqwdhxkhw/edit?usp=sharing"",""จันทบุรี!M352"")"),17600)</f>
        <v>17600</v>
      </c>
      <c r="O457" s="170">
        <f t="shared" ca="1" si="116"/>
        <v>10.827237885489655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IFERROR(__xludf.DUMMYFUNCTION("IMPORTRANGE(""https://docs.google.com/spreadsheets/d/1SX6NBoVAgQJ6U1MVXOaj8PK2l7WJ3RER9xtqwdhxkhw/edit?usp=sharing"",""จันทบุรี!L353"")"),0)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IFERROR(__xludf.DUMMYFUNCTION("IMPORTRANGE(""https://docs.google.com/spreadsheets/d/1SX6NBoVAgQJ6U1MVXOaj8PK2l7WJ3RER9xtqwdhxkhw/edit?usp=sharing"",""จันทบุรี!M353"")"),0)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IFERROR(__xludf.DUMMYFUNCTION("IMPORTRANGE(""https://docs.google.com/spreadsheets/d/1SX6NBoVAgQJ6U1MVXOaj8PK2l7WJ3RER9xtqwdhxkhw/edit?usp=sharing"",""จันทบุรี!L354"")"),162553)</f>
        <v>162553</v>
      </c>
      <c r="M459" s="170"/>
      <c r="N459" s="170">
        <f ca="1">IFERROR(__xludf.DUMMYFUNCTION("IMPORTRANGE(""https://docs.google.com/spreadsheets/d/1SX6NBoVAgQJ6U1MVXOaj8PK2l7WJ3RER9xtqwdhxkhw/edit?usp=sharing"",""จันทบุรี!M354"")"),17600)</f>
        <v>17600</v>
      </c>
      <c r="O459" s="170">
        <f t="shared" ca="1" si="116"/>
        <v>10.827237885489655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IFERROR(__xludf.DUMMYFUNCTION("IMPORTRANGE(""https://docs.google.com/spreadsheets/d/1SX6NBoVAgQJ6U1MVXOaj8PK2l7WJ3RER9xtqwdhxkhw/edit?usp=sharing"",""จันทบุรี!M355"")"),0)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IFERROR(__xludf.DUMMYFUNCTION("IMPORTRANGE(""https://docs.google.com/spreadsheets/d/1SX6NBoVAgQJ6U1MVXOaj8PK2l7WJ3RER9xtqwdhxkhw/edit?usp=sharing"",""จันทบุรี!M356"")"),0)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IFERROR(__xludf.DUMMYFUNCTION("IMPORTRANGE(""https://docs.google.com/spreadsheets/d/1SX6NBoVAgQJ6U1MVXOaj8PK2l7WJ3RER9xtqwdhxkhw/edit?usp=sharing"",""จันทบุรี!M358"")"),17600)</f>
        <v>17600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IFERROR(__xludf.DUMMYFUNCTION("IMPORTRANGE(""https://docs.google.com/spreadsheets/d/1SX6NBoVAgQJ6U1MVXOaj8PK2l7WJ3RER9xtqwdhxkhw/edit?usp=sharing"",""จันทบุรี!J360"")"),18211.71)</f>
        <v>18211.71</v>
      </c>
      <c r="K465" s="203">
        <f t="shared" ca="1" si="117"/>
        <v>100.00389874251826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IFERROR(__xludf.DUMMYFUNCTION("IMPORTRANGE(""https://docs.google.com/spreadsheets/d/1SX6NBoVAgQJ6U1MVXOaj8PK2l7WJ3RER9xtqwdhxkhw/edit?usp=sharing"",""จันทบุรี!I362"")"),0)</f>
        <v>0</v>
      </c>
      <c r="J467" s="190">
        <f ca="1">IFERROR(__xludf.DUMMYFUNCTION("IMPORTRANGE(""https://docs.google.com/spreadsheets/d/1SX6NBoVAgQJ6U1MVXOaj8PK2l7WJ3RER9xtqwdhxkhw/edit?usp=sharing"",""จันทบุรี!J362"")"),11017.97)</f>
        <v>11017.97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IFERROR(__xludf.DUMMYFUNCTION("IMPORTRANGE(""https://docs.google.com/spreadsheets/d/1SX6NBoVAgQJ6U1MVXOaj8PK2l7WJ3RER9xtqwdhxkhw/edit?usp=sharing"",""จันทบุรี!I363"")"),0)</f>
        <v>0</v>
      </c>
      <c r="J468" s="190">
        <f ca="1">IFERROR(__xludf.DUMMYFUNCTION("IMPORTRANGE(""https://docs.google.com/spreadsheets/d/1SX6NBoVAgQJ6U1MVXOaj8PK2l7WJ3RER9xtqwdhxkhw/edit?usp=sharing"",""จันทบุรี!J363"")"),883)</f>
        <v>883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IFERROR(__xludf.DUMMYFUNCTION("IMPORTRANGE(""https://docs.google.com/spreadsheets/d/1SX6NBoVAgQJ6U1MVXOaj8PK2l7WJ3RER9xtqwdhxkhw/edit?usp=sharing"",""จันทบุรี!I364"")"),0)</f>
        <v>0</v>
      </c>
      <c r="J469" s="190">
        <f ca="1">IFERROR(__xludf.DUMMYFUNCTION("IMPORTRANGE(""https://docs.google.com/spreadsheets/d/1SX6NBoVAgQJ6U1MVXOaj8PK2l7WJ3RER9xtqwdhxkhw/edit?usp=sharing"",""จันทบุรี!J364"")"),6212.74)</f>
        <v>6212.74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IFERROR(__xludf.DUMMYFUNCTION("IMPORTRANGE(""https://docs.google.com/spreadsheets/d/1SX6NBoVAgQJ6U1MVXOaj8PK2l7WJ3RER9xtqwdhxkhw/edit?usp=sharing"",""จันทบุรี!I365"")"),0)</f>
        <v>0</v>
      </c>
      <c r="J470" s="190">
        <f ca="1">IFERROR(__xludf.DUMMYFUNCTION("IMPORTRANGE(""https://docs.google.com/spreadsheets/d/1SX6NBoVAgQJ6U1MVXOaj8PK2l7WJ3RER9xtqwdhxkhw/edit?usp=sharing"",""จันทบุรี!J365"")"),447)</f>
        <v>447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IFERROR(__xludf.DUMMYFUNCTION("IMPORTRANGE(""https://docs.google.com/spreadsheets/d/1SX6NBoVAgQJ6U1MVXOaj8PK2l7WJ3RER9xtqwdhxkhw/edit?usp=sharing"",""จันทบุรี!I366"")"),0)</f>
        <v>0</v>
      </c>
      <c r="J471" s="190">
        <f ca="1">IFERROR(__xludf.DUMMYFUNCTION("IMPORTRANGE(""https://docs.google.com/spreadsheets/d/1SX6NBoVAgQJ6U1MVXOaj8PK2l7WJ3RER9xtqwdhxkhw/edit?usp=sharing"",""จันทบุรี!J366"")"),981)</f>
        <v>981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IFERROR(__xludf.DUMMYFUNCTION("IMPORTRANGE(""https://docs.google.com/spreadsheets/d/1SX6NBoVAgQJ6U1MVXOaj8PK2l7WJ3RER9xtqwdhxkhw/edit?usp=sharing"",""จันทบุรี!I367"")"),0)</f>
        <v>0</v>
      </c>
      <c r="J472" s="190">
        <f ca="1">IFERROR(__xludf.DUMMYFUNCTION("IMPORTRANGE(""https://docs.google.com/spreadsheets/d/1SX6NBoVAgQJ6U1MVXOaj8PK2l7WJ3RER9xtqwdhxkhw/edit?usp=sharing"",""จันทบุรี!J367"")"),91)</f>
        <v>91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IFERROR(__xludf.DUMMYFUNCTION("IMPORTRANGE(""https://docs.google.com/spreadsheets/d/1SX6NBoVAgQJ6U1MVXOaj8PK2l7WJ3RER9xtqwdhxkhw/edit?usp=sharing"",""จันทบุรี!I370"")"),0)</f>
        <v>0</v>
      </c>
      <c r="J475" s="190">
        <f ca="1">IFERROR(__xludf.DUMMYFUNCTION("IMPORTRANGE(""https://docs.google.com/spreadsheets/d/1SX6NBoVAgQJ6U1MVXOaj8PK2l7WJ3RER9xtqwdhxkhw/edit?usp=sharing"",""จันทบุรี!J370"")"),0)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IFERROR(__xludf.DUMMYFUNCTION("IMPORTRANGE(""https://docs.google.com/spreadsheets/d/1SX6NBoVAgQJ6U1MVXOaj8PK2l7WJ3RER9xtqwdhxkhw/edit?usp=sharing"",""จันทบุรี!I371"")"),0)</f>
        <v>0</v>
      </c>
      <c r="J476" s="190">
        <f ca="1">IFERROR(__xludf.DUMMYFUNCTION("IMPORTRANGE(""https://docs.google.com/spreadsheets/d/1SX6NBoVAgQJ6U1MVXOaj8PK2l7WJ3RER9xtqwdhxkhw/edit?usp=sharing"",""จันทบุรี!J371"")"),0)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IFERROR(__xludf.DUMMYFUNCTION("IMPORTRANGE(""https://docs.google.com/spreadsheets/d/1SX6NBoVAgQJ6U1MVXOaj8PK2l7WJ3RER9xtqwdhxkhw/edit?usp=sharing"",""จันทบุรี!I372"")"),0)</f>
        <v>0</v>
      </c>
      <c r="J477" s="190">
        <f ca="1">IFERROR(__xludf.DUMMYFUNCTION("IMPORTRANGE(""https://docs.google.com/spreadsheets/d/1SX6NBoVAgQJ6U1MVXOaj8PK2l7WJ3RER9xtqwdhxkhw/edit?usp=sharing"",""จันทบุรี!J372"")"),0)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IFERROR(__xludf.DUMMYFUNCTION("IMPORTRANGE(""https://docs.google.com/spreadsheets/d/1SX6NBoVAgQJ6U1MVXOaj8PK2l7WJ3RER9xtqwdhxkhw/edit?usp=sharing"",""จันทบุรี!I373"")"),0)</f>
        <v>0</v>
      </c>
      <c r="J478" s="190">
        <f ca="1">IFERROR(__xludf.DUMMYFUNCTION("IMPORTRANGE(""https://docs.google.com/spreadsheets/d/1SX6NBoVAgQJ6U1MVXOaj8PK2l7WJ3RER9xtqwdhxkhw/edit?usp=sharing"",""จันทบุรี!J373"")"),0)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IFERROR(__xludf.DUMMYFUNCTION("IMPORTRANGE(""https://docs.google.com/spreadsheets/d/1SX6NBoVAgQJ6U1MVXOaj8PK2l7WJ3RER9xtqwdhxkhw/edit?usp=sharing"",""จันทบุรี!I374"")"),0)</f>
        <v>0</v>
      </c>
      <c r="J479" s="190">
        <f ca="1">IFERROR(__xludf.DUMMYFUNCTION("IMPORTRANGE(""https://docs.google.com/spreadsheets/d/1SX6NBoVAgQJ6U1MVXOaj8PK2l7WJ3RER9xtqwdhxkhw/edit?usp=sharing"",""จันทบุรี!J374"")"),0)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IFERROR(__xludf.DUMMYFUNCTION("IMPORTRANGE(""https://docs.google.com/spreadsheets/d/1SX6NBoVAgQJ6U1MVXOaj8PK2l7WJ3RER9xtqwdhxkhw/edit?usp=sharing"",""จันทบุรี!I375"")"),0)</f>
        <v>0</v>
      </c>
      <c r="J480" s="190">
        <f ca="1">IFERROR(__xludf.DUMMYFUNCTION("IMPORTRANGE(""https://docs.google.com/spreadsheets/d/1SX6NBoVAgQJ6U1MVXOaj8PK2l7WJ3RER9xtqwdhxkhw/edit?usp=sharing"",""จันทบุรี!J375"")"),0)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IFERROR(__xludf.DUMMYFUNCTION("IMPORTRANGE(""https://docs.google.com/spreadsheets/d/1SX6NBoVAgQJ6U1MVXOaj8PK2l7WJ3RER9xtqwdhxkhw/edit?usp=sharing"",""จันทบุรี!I378"")"),0)</f>
        <v>0</v>
      </c>
      <c r="J483" s="190">
        <f ca="1">IFERROR(__xludf.DUMMYFUNCTION("IMPORTRANGE(""https://docs.google.com/spreadsheets/d/1SX6NBoVAgQJ6U1MVXOaj8PK2l7WJ3RER9xtqwdhxkhw/edit?usp=sharing"",""จันทบุรี!J378"")"),0)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IFERROR(__xludf.DUMMYFUNCTION("IMPORTRANGE(""https://docs.google.com/spreadsheets/d/1SX6NBoVAgQJ6U1MVXOaj8PK2l7WJ3RER9xtqwdhxkhw/edit?usp=sharing"",""จันทบุรี!I379"")"),0)</f>
        <v>0</v>
      </c>
      <c r="J484" s="190">
        <f ca="1">IFERROR(__xludf.DUMMYFUNCTION("IMPORTRANGE(""https://docs.google.com/spreadsheets/d/1SX6NBoVAgQJ6U1MVXOaj8PK2l7WJ3RER9xtqwdhxkhw/edit?usp=sharing"",""จันทบุรี!J379"")"),0)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IFERROR(__xludf.DUMMYFUNCTION("IMPORTRANGE(""https://docs.google.com/spreadsheets/d/1SX6NBoVAgQJ6U1MVXOaj8PK2l7WJ3RER9xtqwdhxkhw/edit?usp=sharing"",""จันทบุรี!I380"")"),0)</f>
        <v>0</v>
      </c>
      <c r="J485" s="190">
        <f ca="1">IFERROR(__xludf.DUMMYFUNCTION("IMPORTRANGE(""https://docs.google.com/spreadsheets/d/1SX6NBoVAgQJ6U1MVXOaj8PK2l7WJ3RER9xtqwdhxkhw/edit?usp=sharing"",""จันทบุรี!J380"")"),0)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IFERROR(__xludf.DUMMYFUNCTION("IMPORTRANGE(""https://docs.google.com/spreadsheets/d/1SX6NBoVAgQJ6U1MVXOaj8PK2l7WJ3RER9xtqwdhxkhw/edit?usp=sharing"",""จันทบุรี!I381"")"),0)</f>
        <v>0</v>
      </c>
      <c r="J486" s="190">
        <f ca="1">IFERROR(__xludf.DUMMYFUNCTION("IMPORTRANGE(""https://docs.google.com/spreadsheets/d/1SX6NBoVAgQJ6U1MVXOaj8PK2l7WJ3RER9xtqwdhxkhw/edit?usp=sharing"",""จันทบุรี!J381"")"),0)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IFERROR(__xludf.DUMMYFUNCTION("IMPORTRANGE(""https://docs.google.com/spreadsheets/d/1SX6NBoVAgQJ6U1MVXOaj8PK2l7WJ3RER9xtqwdhxkhw/edit?usp=sharing"",""จันทบุรี!I384"")"),0)</f>
        <v>0</v>
      </c>
      <c r="J489" s="190">
        <f ca="1">IFERROR(__xludf.DUMMYFUNCTION("IMPORTRANGE(""https://docs.google.com/spreadsheets/d/1SX6NBoVAgQJ6U1MVXOaj8PK2l7WJ3RER9xtqwdhxkhw/edit?usp=sharing"",""จันทบุรี!J384"")"),0)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IFERROR(__xludf.DUMMYFUNCTION("IMPORTRANGE(""https://docs.google.com/spreadsheets/d/1SX6NBoVAgQJ6U1MVXOaj8PK2l7WJ3RER9xtqwdhxkhw/edit?usp=sharing"",""จันทบุรี!I385"")"),0)</f>
        <v>0</v>
      </c>
      <c r="J490" s="190">
        <f ca="1">IFERROR(__xludf.DUMMYFUNCTION("IMPORTRANGE(""https://docs.google.com/spreadsheets/d/1SX6NBoVAgQJ6U1MVXOaj8PK2l7WJ3RER9xtqwdhxkhw/edit?usp=sharing"",""จันทบุรี!J385"")"),0)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IFERROR(__xludf.DUMMYFUNCTION("IMPORTRANGE(""https://docs.google.com/spreadsheets/d/1SX6NBoVAgQJ6U1MVXOaj8PK2l7WJ3RER9xtqwdhxkhw/edit?usp=sharing"",""จันทบุรี!I386"")"),0)</f>
        <v>0</v>
      </c>
      <c r="J491" s="190">
        <f ca="1">IFERROR(__xludf.DUMMYFUNCTION("IMPORTRANGE(""https://docs.google.com/spreadsheets/d/1SX6NBoVAgQJ6U1MVXOaj8PK2l7WJ3RER9xtqwdhxkhw/edit?usp=sharing"",""จันทบุรี!J386"")"),0)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IFERROR(__xludf.DUMMYFUNCTION("IMPORTRANGE(""https://docs.google.com/spreadsheets/d/1SX6NBoVAgQJ6U1MVXOaj8PK2l7WJ3RER9xtqwdhxkhw/edit?usp=sharing"",""จันทบุรี!I387"")"),0)</f>
        <v>0</v>
      </c>
      <c r="J492" s="190">
        <f ca="1">IFERROR(__xludf.DUMMYFUNCTION("IMPORTRANGE(""https://docs.google.com/spreadsheets/d/1SX6NBoVAgQJ6U1MVXOaj8PK2l7WJ3RER9xtqwdhxkhw/edit?usp=sharing"",""จันทบุรี!J387"")"),0)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IFERROR(__xludf.DUMMYFUNCTION("IMPORTRANGE(""https://docs.google.com/spreadsheets/d/1SX6NBoVAgQJ6U1MVXOaj8PK2l7WJ3RER9xtqwdhxkhw/edit?usp=sharing"",""จันทบุรี!I388"")"),0)</f>
        <v>0</v>
      </c>
      <c r="J493" s="190">
        <f ca="1">IFERROR(__xludf.DUMMYFUNCTION("IMPORTRANGE(""https://docs.google.com/spreadsheets/d/1SX6NBoVAgQJ6U1MVXOaj8PK2l7WJ3RER9xtqwdhxkhw/edit?usp=sharing"",""จันทบุรี!J388"")"),0)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IFERROR(__xludf.DUMMYFUNCTION("IMPORTRANGE(""https://docs.google.com/spreadsheets/d/1SX6NBoVAgQJ6U1MVXOaj8PK2l7WJ3RER9xtqwdhxkhw/edit?usp=sharing"",""จันทบุรี!J392"")"),290)</f>
        <v>290</v>
      </c>
      <c r="K497" s="444">
        <f t="shared" ca="1" si="117"/>
        <v>37.037037037037038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IFERROR(__xludf.DUMMYFUNCTION("IMPORTRANGE(""https://docs.google.com/spreadsheets/d/1SX6NBoVAgQJ6U1MVXOaj8PK2l7WJ3RER9xtqwdhxkhw/edit?usp=sharing"",""จันทบุรี!J393"")"),290)</f>
        <v>290</v>
      </c>
      <c r="K498" s="165">
        <f t="shared" ca="1" si="117"/>
        <v>37.037037037037038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IFERROR(__xludf.DUMMYFUNCTION("IMPORTRANGE(""https://docs.google.com/spreadsheets/d/1SX6NBoVAgQJ6U1MVXOaj8PK2l7WJ3RER9xtqwdhxkhw/edit?usp=sharing"",""จันทบุรี!J394"")"),34)</f>
        <v>34</v>
      </c>
      <c r="K499" s="203">
        <f t="shared" ca="1" si="117"/>
        <v>46.575342465753423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IFERROR(__xludf.DUMMYFUNCTION("IMPORTRANGE(""https://docs.google.com/spreadsheets/d/1SX6NBoVAgQJ6U1MVXOaj8PK2l7WJ3RER9xtqwdhxkhw/edit?usp=sharing"",""จันทบุรี!I395"")"),0)</f>
        <v>0</v>
      </c>
      <c r="J500" s="164">
        <f ca="1">IFERROR(__xludf.DUMMYFUNCTION("IMPORTRANGE(""https://docs.google.com/spreadsheets/d/1SX6NBoVAgQJ6U1MVXOaj8PK2l7WJ3RER9xtqwdhxkhw/edit?usp=sharing"",""จันทบุรี!J395"")"),290)</f>
        <v>290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IFERROR(__xludf.DUMMYFUNCTION("IMPORTRANGE(""https://docs.google.com/spreadsheets/d/1SX6NBoVAgQJ6U1MVXOaj8PK2l7WJ3RER9xtqwdhxkhw/edit?usp=sharing"",""จันทบุรี!I396"")"),0)</f>
        <v>0</v>
      </c>
      <c r="J501" s="164">
        <f ca="1">IFERROR(__xludf.DUMMYFUNCTION("IMPORTRANGE(""https://docs.google.com/spreadsheets/d/1SX6NBoVAgQJ6U1MVXOaj8PK2l7WJ3RER9xtqwdhxkhw/edit?usp=sharing"",""จันทบุรี!J396"")"),34)</f>
        <v>34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IFERROR(__xludf.DUMMYFUNCTION("IMPORTRANGE(""https://docs.google.com/spreadsheets/d/1SX6NBoVAgQJ6U1MVXOaj8PK2l7WJ3RER9xtqwdhxkhw/edit?usp=sharing"",""จันทบุรี!I397"")"),0)</f>
        <v>0</v>
      </c>
      <c r="J502" s="190">
        <f ca="1">IFERROR(__xludf.DUMMYFUNCTION("IMPORTRANGE(""https://docs.google.com/spreadsheets/d/1SX6NBoVAgQJ6U1MVXOaj8PK2l7WJ3RER9xtqwdhxkhw/edit?usp=sharing"",""จันทบุรี!J397"")"),290)</f>
        <v>290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IFERROR(__xludf.DUMMYFUNCTION("IMPORTRANGE(""https://docs.google.com/spreadsheets/d/1SX6NBoVAgQJ6U1MVXOaj8PK2l7WJ3RER9xtqwdhxkhw/edit?usp=sharing"",""จันทบุรี!I398"")"),0)</f>
        <v>0</v>
      </c>
      <c r="J503" s="199">
        <f ca="1">IFERROR(__xludf.DUMMYFUNCTION("IMPORTRANGE(""https://docs.google.com/spreadsheets/d/1SX6NBoVAgQJ6U1MVXOaj8PK2l7WJ3RER9xtqwdhxkhw/edit?usp=sharing"",""จันทบุรี!J398"")"),34)</f>
        <v>34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IFERROR(__xludf.DUMMYFUNCTION("IMPORTRANGE(""https://docs.google.com/spreadsheets/d/1SX6NBoVAgQJ6U1MVXOaj8PK2l7WJ3RER9xtqwdhxkhw/edit?usp=sharing"",""จันทบุรี!I399"")"),0)</f>
        <v>0</v>
      </c>
      <c r="J504" s="190">
        <f ca="1">IFERROR(__xludf.DUMMYFUNCTION("IMPORTRANGE(""https://docs.google.com/spreadsheets/d/1SX6NBoVAgQJ6U1MVXOaj8PK2l7WJ3RER9xtqwdhxkhw/edit?usp=sharing"",""จันทบุรี!J399"")"),0)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IFERROR(__xludf.DUMMYFUNCTION("IMPORTRANGE(""https://docs.google.com/spreadsheets/d/1SX6NBoVAgQJ6U1MVXOaj8PK2l7WJ3RER9xtqwdhxkhw/edit?usp=sharing"",""จันทบุรี!I400"")"),0)</f>
        <v>0</v>
      </c>
      <c r="J505" s="199">
        <f ca="1">IFERROR(__xludf.DUMMYFUNCTION("IMPORTRANGE(""https://docs.google.com/spreadsheets/d/1SX6NBoVAgQJ6U1MVXOaj8PK2l7WJ3RER9xtqwdhxkhw/edit?usp=sharing"",""จันทบุรี!J400"")"),0)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IFERROR(__xludf.DUMMYFUNCTION("IMPORTRANGE(""https://docs.google.com/spreadsheets/d/1SX6NBoVAgQJ6U1MVXOaj8PK2l7WJ3RER9xtqwdhxkhw/edit?usp=sharing"",""จันทบุรี!I401"")"),0)</f>
        <v>0</v>
      </c>
      <c r="J506" s="190">
        <f ca="1">IFERROR(__xludf.DUMMYFUNCTION("IMPORTRANGE(""https://docs.google.com/spreadsheets/d/1SX6NBoVAgQJ6U1MVXOaj8PK2l7WJ3RER9xtqwdhxkhw/edit?usp=sharing"",""จันทบุรี!J401"")"),0)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IFERROR(__xludf.DUMMYFUNCTION("IMPORTRANGE(""https://docs.google.com/spreadsheets/d/1SX6NBoVAgQJ6U1MVXOaj8PK2l7WJ3RER9xtqwdhxkhw/edit?usp=sharing"",""จันทบุรี!I402"")"),0)</f>
        <v>0</v>
      </c>
      <c r="J507" s="199">
        <f ca="1">IFERROR(__xludf.DUMMYFUNCTION("IMPORTRANGE(""https://docs.google.com/spreadsheets/d/1SX6NBoVAgQJ6U1MVXOaj8PK2l7WJ3RER9xtqwdhxkhw/edit?usp=sharing"",""จันทบุรี!J402"")"),0)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IFERROR(__xludf.DUMMYFUNCTION("IMPORTRANGE(""https://docs.google.com/spreadsheets/d/1SX6NBoVAgQJ6U1MVXOaj8PK2l7WJ3RER9xtqwdhxkhw/edit?usp=sharing"",""จันทบุรี!I403"")"),0)</f>
        <v>0</v>
      </c>
      <c r="J508" s="164">
        <f ca="1">IFERROR(__xludf.DUMMYFUNCTION("IMPORTRANGE(""https://docs.google.com/spreadsheets/d/1SX6NBoVAgQJ6U1MVXOaj8PK2l7WJ3RER9xtqwdhxkhw/edit?usp=sharing"",""จันทบุรี!J403"")"),0)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IFERROR(__xludf.DUMMYFUNCTION("IMPORTRANGE(""https://docs.google.com/spreadsheets/d/1SX6NBoVAgQJ6U1MVXOaj8PK2l7WJ3RER9xtqwdhxkhw/edit?usp=sharing"",""จันทบุรี!I404"")"),0)</f>
        <v>0</v>
      </c>
      <c r="J509" s="164">
        <f ca="1">IFERROR(__xludf.DUMMYFUNCTION("IMPORTRANGE(""https://docs.google.com/spreadsheets/d/1SX6NBoVAgQJ6U1MVXOaj8PK2l7WJ3RER9xtqwdhxkhw/edit?usp=sharing"",""จันทบุรี!J404"")"),0)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IFERROR(__xludf.DUMMYFUNCTION("IMPORTRANGE(""https://docs.google.com/spreadsheets/d/1SX6NBoVAgQJ6U1MVXOaj8PK2l7WJ3RER9xtqwdhxkhw/edit?usp=sharing"",""จันทบุรี!I405"")"),0)</f>
        <v>0</v>
      </c>
      <c r="J510" s="199">
        <f ca="1">IFERROR(__xludf.DUMMYFUNCTION("IMPORTRANGE(""https://docs.google.com/spreadsheets/d/1SX6NBoVAgQJ6U1MVXOaj8PK2l7WJ3RER9xtqwdhxkhw/edit?usp=sharing"",""จันทบุรี!J405"")"),0)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IFERROR(__xludf.DUMMYFUNCTION("IMPORTRANGE(""https://docs.google.com/spreadsheets/d/1SX6NBoVAgQJ6U1MVXOaj8PK2l7WJ3RER9xtqwdhxkhw/edit?usp=sharing"",""จันทบุรี!I406"")"),0)</f>
        <v>0</v>
      </c>
      <c r="J511" s="199">
        <f ca="1">IFERROR(__xludf.DUMMYFUNCTION("IMPORTRANGE(""https://docs.google.com/spreadsheets/d/1SX6NBoVAgQJ6U1MVXOaj8PK2l7WJ3RER9xtqwdhxkhw/edit?usp=sharing"",""จันทบุรี!J406"")"),0)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IFERROR(__xludf.DUMMYFUNCTION("IMPORTRANGE(""https://docs.google.com/spreadsheets/d/1SX6NBoVAgQJ6U1MVXOaj8PK2l7WJ3RER9xtqwdhxkhw/edit?usp=sharing"",""จันทบุรี!I407"")"),0)</f>
        <v>0</v>
      </c>
      <c r="J512" s="199">
        <f ca="1">IFERROR(__xludf.DUMMYFUNCTION("IMPORTRANGE(""https://docs.google.com/spreadsheets/d/1SX6NBoVAgQJ6U1MVXOaj8PK2l7WJ3RER9xtqwdhxkhw/edit?usp=sharing"",""จันทบุรี!J407"")"),0)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IFERROR(__xludf.DUMMYFUNCTION("IMPORTRANGE(""https://docs.google.com/spreadsheets/d/1SX6NBoVAgQJ6U1MVXOaj8PK2l7WJ3RER9xtqwdhxkhw/edit?usp=sharing"",""จันทบุรี!I408"")"),0)</f>
        <v>0</v>
      </c>
      <c r="J513" s="199">
        <f ca="1">IFERROR(__xludf.DUMMYFUNCTION("IMPORTRANGE(""https://docs.google.com/spreadsheets/d/1SX6NBoVAgQJ6U1MVXOaj8PK2l7WJ3RER9xtqwdhxkhw/edit?usp=sharing"",""จันทบุรี!J408"")"),0)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IFERROR(__xludf.DUMMYFUNCTION("IMPORTRANGE(""https://docs.google.com/spreadsheets/d/1SX6NBoVAgQJ6U1MVXOaj8PK2l7WJ3RER9xtqwdhxkhw/edit?usp=sharing"",""จันทบุรี!I409"")"),0)</f>
        <v>0</v>
      </c>
      <c r="J514" s="199">
        <f ca="1">IFERROR(__xludf.DUMMYFUNCTION("IMPORTRANGE(""https://docs.google.com/spreadsheets/d/1SX6NBoVAgQJ6U1MVXOaj8PK2l7WJ3RER9xtqwdhxkhw/edit?usp=sharing"",""จันทบุรี!J409"")"),0)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IFERROR(__xludf.DUMMYFUNCTION("IMPORTRANGE(""https://docs.google.com/spreadsheets/d/1SX6NBoVAgQJ6U1MVXOaj8PK2l7WJ3RER9xtqwdhxkhw/edit?usp=sharing"",""จันทบุรี!I410"")"),0)</f>
        <v>0</v>
      </c>
      <c r="J515" s="199">
        <f ca="1">IFERROR(__xludf.DUMMYFUNCTION("IMPORTRANGE(""https://docs.google.com/spreadsheets/d/1SX6NBoVAgQJ6U1MVXOaj8PK2l7WJ3RER9xtqwdhxkhw/edit?usp=sharing"",""จันทบุรี!J410"")"),0)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IFERROR(__xludf.DUMMYFUNCTION("IMPORTRANGE(""https://docs.google.com/spreadsheets/d/1SX6NBoVAgQJ6U1MVXOaj8PK2l7WJ3RER9xtqwdhxkhw/edit?usp=sharing"",""จันทบุรี!I412"")"),0)</f>
        <v>0</v>
      </c>
      <c r="J517" s="284">
        <f ca="1">IFERROR(__xludf.DUMMYFUNCTION("IMPORTRANGE(""https://docs.google.com/spreadsheets/d/1SX6NBoVAgQJ6U1MVXOaj8PK2l7WJ3RER9xtqwdhxkhw/edit?usp=sharing"",""จันทบุรี!J412"")"),0)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IFERROR(__xludf.DUMMYFUNCTION("IMPORTRANGE(""https://docs.google.com/spreadsheets/d/1SX6NBoVAgQJ6U1MVXOaj8PK2l7WJ3RER9xtqwdhxkhw/edit?usp=sharing"",""จันทบุรี!I413"")"),0)</f>
        <v>0</v>
      </c>
      <c r="J518" s="284">
        <f ca="1">IFERROR(__xludf.DUMMYFUNCTION("IMPORTRANGE(""https://docs.google.com/spreadsheets/d/1SX6NBoVAgQJ6U1MVXOaj8PK2l7WJ3RER9xtqwdhxkhw/edit?usp=sharing"",""จันทบุรี!J413"")"),0)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IFERROR(__xludf.DUMMYFUNCTION("IMPORTRANGE(""https://docs.google.com/spreadsheets/d/1SX6NBoVAgQJ6U1MVXOaj8PK2l7WJ3RER9xtqwdhxkhw/edit?usp=sharing"",""จันทบุรี!I414"")"),0)</f>
        <v>0</v>
      </c>
      <c r="J519" s="189">
        <f ca="1">IFERROR(__xludf.DUMMYFUNCTION("IMPORTRANGE(""https://docs.google.com/spreadsheets/d/1SX6NBoVAgQJ6U1MVXOaj8PK2l7WJ3RER9xtqwdhxkhw/edit?usp=sharing"",""จันทบุรี!J414"")"),0)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IFERROR(__xludf.DUMMYFUNCTION("IMPORTRANGE(""https://docs.google.com/spreadsheets/d/1SX6NBoVAgQJ6U1MVXOaj8PK2l7WJ3RER9xtqwdhxkhw/edit?usp=sharing"",""จันทบุรี!I415"")"),0)</f>
        <v>0</v>
      </c>
      <c r="J520" s="189">
        <f ca="1">IFERROR(__xludf.DUMMYFUNCTION("IMPORTRANGE(""https://docs.google.com/spreadsheets/d/1SX6NBoVAgQJ6U1MVXOaj8PK2l7WJ3RER9xtqwdhxkhw/edit?usp=sharing"",""จันทบุรี!J415"")"),0)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IFERROR(__xludf.DUMMYFUNCTION("IMPORTRANGE(""https://docs.google.com/spreadsheets/d/1SX6NBoVAgQJ6U1MVXOaj8PK2l7WJ3RER9xtqwdhxkhw/edit?usp=sharing"",""จันทบุรี!I416"")"),0)</f>
        <v>0</v>
      </c>
      <c r="J521" s="189">
        <f ca="1">IFERROR(__xludf.DUMMYFUNCTION("IMPORTRANGE(""https://docs.google.com/spreadsheets/d/1SX6NBoVAgQJ6U1MVXOaj8PK2l7WJ3RER9xtqwdhxkhw/edit?usp=sharing"",""จันทบุรี!J416"")"),0)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IFERROR(__xludf.DUMMYFUNCTION("IMPORTRANGE(""https://docs.google.com/spreadsheets/d/1SX6NBoVAgQJ6U1MVXOaj8PK2l7WJ3RER9xtqwdhxkhw/edit?usp=sharing"",""จันทบุรี!I417"")"),0)</f>
        <v>0</v>
      </c>
      <c r="J522" s="189">
        <f ca="1">IFERROR(__xludf.DUMMYFUNCTION("IMPORTRANGE(""https://docs.google.com/spreadsheets/d/1SX6NBoVAgQJ6U1MVXOaj8PK2l7WJ3RER9xtqwdhxkhw/edit?usp=sharing"",""จันทบุรี!J417"")"),0)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IFERROR(__xludf.DUMMYFUNCTION("IMPORTRANGE(""https://docs.google.com/spreadsheets/d/1SX6NBoVAgQJ6U1MVXOaj8PK2l7WJ3RER9xtqwdhxkhw/edit?usp=sharing"",""จันทบุรี!I418"")"),0)</f>
        <v>0</v>
      </c>
      <c r="J523" s="189">
        <f ca="1">IFERROR(__xludf.DUMMYFUNCTION("IMPORTRANGE(""https://docs.google.com/spreadsheets/d/1SX6NBoVAgQJ6U1MVXOaj8PK2l7WJ3RER9xtqwdhxkhw/edit?usp=sharing"",""จันทบุรี!J418"")"),0)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IFERROR(__xludf.DUMMYFUNCTION("IMPORTRANGE(""https://docs.google.com/spreadsheets/d/1SX6NBoVAgQJ6U1MVXOaj8PK2l7WJ3RER9xtqwdhxkhw/edit?usp=sharing"",""จันทบุรี!I419"")"),0)</f>
        <v>0</v>
      </c>
      <c r="J524" s="189">
        <f ca="1">IFERROR(__xludf.DUMMYFUNCTION("IMPORTRANGE(""https://docs.google.com/spreadsheets/d/1SX6NBoVAgQJ6U1MVXOaj8PK2l7WJ3RER9xtqwdhxkhw/edit?usp=sharing"",""จันทบุรี!J419"")"),0)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IFERROR(__xludf.DUMMYFUNCTION("IMPORTRANGE(""https://docs.google.com/spreadsheets/d/1SX6NBoVAgQJ6U1MVXOaj8PK2l7WJ3RER9xtqwdhxkhw/edit?usp=sharing"",""จันทบุรี!I420"")"),0)</f>
        <v>0</v>
      </c>
      <c r="J525" s="284">
        <f ca="1">IFERROR(__xludf.DUMMYFUNCTION("IMPORTRANGE(""https://docs.google.com/spreadsheets/d/1SX6NBoVAgQJ6U1MVXOaj8PK2l7WJ3RER9xtqwdhxkhw/edit?usp=sharing"",""จันทบุรี!J420"")"),0)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IFERROR(__xludf.DUMMYFUNCTION("IMPORTRANGE(""https://docs.google.com/spreadsheets/d/1SX6NBoVAgQJ6U1MVXOaj8PK2l7WJ3RER9xtqwdhxkhw/edit?usp=sharing"",""จันทบุรี!I421"")"),0)</f>
        <v>0</v>
      </c>
      <c r="J526" s="284">
        <f ca="1">IFERROR(__xludf.DUMMYFUNCTION("IMPORTRANGE(""https://docs.google.com/spreadsheets/d/1SX6NBoVAgQJ6U1MVXOaj8PK2l7WJ3RER9xtqwdhxkhw/edit?usp=sharing"",""จันทบุรี!J421"")"),0)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IFERROR(__xludf.DUMMYFUNCTION("IMPORTRANGE(""https://docs.google.com/spreadsheets/d/1SX6NBoVAgQJ6U1MVXOaj8PK2l7WJ3RER9xtqwdhxkhw/edit?usp=sharing"",""จันทบุรี!I422"")"),0)</f>
        <v>0</v>
      </c>
      <c r="J527" s="199">
        <f ca="1">IFERROR(__xludf.DUMMYFUNCTION("IMPORTRANGE(""https://docs.google.com/spreadsheets/d/1SX6NBoVAgQJ6U1MVXOaj8PK2l7WJ3RER9xtqwdhxkhw/edit?usp=sharing"",""จันทบุรี!J422"")"),0)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IFERROR(__xludf.DUMMYFUNCTION("IMPORTRANGE(""https://docs.google.com/spreadsheets/d/1SX6NBoVAgQJ6U1MVXOaj8PK2l7WJ3RER9xtqwdhxkhw/edit?usp=sharing"",""จันทบุรี!I423"")"),0)</f>
        <v>0</v>
      </c>
      <c r="J528" s="199">
        <f ca="1">IFERROR(__xludf.DUMMYFUNCTION("IMPORTRANGE(""https://docs.google.com/spreadsheets/d/1SX6NBoVAgQJ6U1MVXOaj8PK2l7WJ3RER9xtqwdhxkhw/edit?usp=sharing"",""จันทบุรี!J423"")"),0)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IFERROR(__xludf.DUMMYFUNCTION("IMPORTRANGE(""https://docs.google.com/spreadsheets/d/1SX6NBoVAgQJ6U1MVXOaj8PK2l7WJ3RER9xtqwdhxkhw/edit?usp=sharing"",""จันทบุรี!I424"")"),0)</f>
        <v>0</v>
      </c>
      <c r="J529" s="199">
        <f ca="1">IFERROR(__xludf.DUMMYFUNCTION("IMPORTRANGE(""https://docs.google.com/spreadsheets/d/1SX6NBoVAgQJ6U1MVXOaj8PK2l7WJ3RER9xtqwdhxkhw/edit?usp=sharing"",""จันทบุรี!J424"")"),0)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IFERROR(__xludf.DUMMYFUNCTION("IMPORTRANGE(""https://docs.google.com/spreadsheets/d/1SX6NBoVAgQJ6U1MVXOaj8PK2l7WJ3RER9xtqwdhxkhw/edit?usp=sharing"",""จันทบุรี!I425"")"),0)</f>
        <v>0</v>
      </c>
      <c r="J530" s="199">
        <f ca="1">IFERROR(__xludf.DUMMYFUNCTION("IMPORTRANGE(""https://docs.google.com/spreadsheets/d/1SX6NBoVAgQJ6U1MVXOaj8PK2l7WJ3RER9xtqwdhxkhw/edit?usp=sharing"",""จันทบุรี!J425"")"),0)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IFERROR(__xludf.DUMMYFUNCTION("IMPORTRANGE(""https://docs.google.com/spreadsheets/d/1SX6NBoVAgQJ6U1MVXOaj8PK2l7WJ3RER9xtqwdhxkhw/edit?usp=sharing"",""จันทบุรี!I426"")"),0)</f>
        <v>0</v>
      </c>
      <c r="J531" s="199">
        <f ca="1">IFERROR(__xludf.DUMMYFUNCTION("IMPORTRANGE(""https://docs.google.com/spreadsheets/d/1SX6NBoVAgQJ6U1MVXOaj8PK2l7WJ3RER9xtqwdhxkhw/edit?usp=sharing"",""จันทบุรี!J426"")"),0)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IFERROR(__xludf.DUMMYFUNCTION("IMPORTRANGE(""https://docs.google.com/spreadsheets/d/1SX6NBoVAgQJ6U1MVXOaj8PK2l7WJ3RER9xtqwdhxkhw/edit?usp=sharing"",""จันทบุรี!L429"")"),0)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IFERROR(__xludf.DUMMYFUNCTION("IMPORTRANGE(""https://docs.google.com/spreadsheets/d/1SX6NBoVAgQJ6U1MVXOaj8PK2l7WJ3RER9xtqwdhxkhw/edit?usp=sharing"",""จันทบุรี!M429"")"),0)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IFERROR(__xludf.DUMMYFUNCTION("IMPORTRANGE(""https://docs.google.com/spreadsheets/d/1SX6NBoVAgQJ6U1MVXOaj8PK2l7WJ3RER9xtqwdhxkhw/edit?usp=sharing"",""จันทบุรี!L430"")"),34340)</f>
        <v>34340</v>
      </c>
      <c r="M535" s="167"/>
      <c r="N535" s="170">
        <f ca="1">IFERROR(__xludf.DUMMYFUNCTION("IMPORTRANGE(""https://docs.google.com/spreadsheets/d/1SX6NBoVAgQJ6U1MVXOaj8PK2l7WJ3RER9xtqwdhxkhw/edit?usp=sharing"",""จันทบุรี!M430"")"),22816)</f>
        <v>22816</v>
      </c>
      <c r="O535" s="170">
        <f t="shared" ca="1" si="118"/>
        <v>66.441467676179386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IFERROR(__xludf.DUMMYFUNCTION("IMPORTRANGE(""https://docs.google.com/spreadsheets/d/1SX6NBoVAgQJ6U1MVXOaj8PK2l7WJ3RER9xtqwdhxkhw/edit?usp=sharing"",""จันทบุรี!L431"")"),0)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IFERROR(__xludf.DUMMYFUNCTION("IMPORTRANGE(""https://docs.google.com/spreadsheets/d/1SX6NBoVAgQJ6U1MVXOaj8PK2l7WJ3RER9xtqwdhxkhw/edit?usp=sharing"",""จันทบุรี!M431"")"),0)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IFERROR(__xludf.DUMMYFUNCTION("IMPORTRANGE(""https://docs.google.com/spreadsheets/d/1SX6NBoVAgQJ6U1MVXOaj8PK2l7WJ3RER9xtqwdhxkhw/edit?usp=sharing"",""จันทบุรี!L432"")"),34340)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IFERROR(__xludf.DUMMYFUNCTION("IMPORTRANGE(""https://docs.google.com/spreadsheets/d/1SX6NBoVAgQJ6U1MVXOaj8PK2l7WJ3RER9xtqwdhxkhw/edit?usp=sharing"",""จันทบุรี!M432"")"),22816)</f>
        <v>22816</v>
      </c>
      <c r="O537" s="170">
        <f t="shared" ca="1" si="118"/>
        <v>66.441467676179386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IFERROR(__xludf.DUMMYFUNCTION("IMPORTRANGE(""https://docs.google.com/spreadsheets/d/1SX6NBoVAgQJ6U1MVXOaj8PK2l7WJ3RER9xtqwdhxkhw/edit?usp=sharing"",""จันทบุรี!M433"")"),14440)</f>
        <v>14440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IFERROR(__xludf.DUMMYFUNCTION("IMPORTRANGE(""https://docs.google.com/spreadsheets/d/1SX6NBoVAgQJ6U1MVXOaj8PK2l7WJ3RER9xtqwdhxkhw/edit?usp=sharing"",""จันทบุรี!M436"")"),8376)</f>
        <v>8376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IFERROR(__xludf.DUMMYFUNCTION("IMPORTRANGE(""https://docs.google.com/spreadsheets/d/1SX6NBoVAgQJ6U1MVXOaj8PK2l7WJ3RER9xtqwdhxkhw/edit?usp=sharing"",""จันทบุรี!J438"")"),0)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IFERROR(__xludf.DUMMYFUNCTION("IMPORTRANGE(""https://docs.google.com/spreadsheets/d/1SX6NBoVAgQJ6U1MVXOaj8PK2l7WJ3RER9xtqwdhxkhw/edit?usp=sharing"",""จันทบุรี!J439"")"),1)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IFERROR(__xludf.DUMMYFUNCTION("IMPORTRANGE(""https://docs.google.com/spreadsheets/d/1SX6NBoVAgQJ6U1MVXOaj8PK2l7WJ3RER9xtqwdhxkhw/edit?usp=sharing"",""จันทบุรี!J440"")"),1)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IFERROR(__xludf.DUMMYFUNCTION("IMPORTRANGE(""https://docs.google.com/spreadsheets/d/1SX6NBoVAgQJ6U1MVXOaj8PK2l7WJ3RER9xtqwdhxkhw/edit?usp=sharing"",""จันทบุรี!J441"")"),1)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IFERROR(__xludf.DUMMYFUNCTION("IMPORTRANGE(""https://docs.google.com/spreadsheets/d/1SX6NBoVAgQJ6U1MVXOaj8PK2l7WJ3RER9xtqwdhxkhw/edit?usp=sharing"",""จันทบุรี!I442"")"),22)</f>
        <v>22</v>
      </c>
      <c r="J547" s="190">
        <f ca="1">IFERROR(__xludf.DUMMYFUNCTION("IMPORTRANGE(""https://docs.google.com/spreadsheets/d/1SX6NBoVAgQJ6U1MVXOaj8PK2l7WJ3RER9xtqwdhxkhw/edit?usp=sharing"",""จันทบุรี!J442"")"),22)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IFERROR(__xludf.DUMMYFUNCTION("IMPORTRANGE(""https://docs.google.com/spreadsheets/d/1SX6NBoVAgQJ6U1MVXOaj8PK2l7WJ3RER9xtqwdhxkhw/edit?usp=sharing"",""จันทบุรี!J166"")"),0)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IFERROR(__xludf.DUMMYFUNCTION("IMPORTRANGE(""https://docs.google.com/spreadsheets/d/1SX6NBoVAgQJ6U1MVXOaj8PK2l7WJ3RER9xtqwdhxkhw/edit?usp=sharing"",""จันทบุรี!J444"")"),0)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IFERROR(__xludf.DUMMYFUNCTION("IMPORTRANGE(""https://docs.google.com/spreadsheets/d/1SX6NBoVAgQJ6U1MVXOaj8PK2l7WJ3RER9xtqwdhxkhw/edit?usp=sharing"",""จันทบุรี!L447"")"),0)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IFERROR(__xludf.DUMMYFUNCTION("IMPORTRANGE(""https://docs.google.com/spreadsheets/d/1SX6NBoVAgQJ6U1MVXOaj8PK2l7WJ3RER9xtqwdhxkhw/edit?usp=sharing"",""จันทบุรี!M447"")"),0)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IFERROR(__xludf.DUMMYFUNCTION("IMPORTRANGE(""https://docs.google.com/spreadsheets/d/1SX6NBoVAgQJ6U1MVXOaj8PK2l7WJ3RER9xtqwdhxkhw/edit?usp=sharing"",""จันทบุรี!L448"")"),0)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IFERROR(__xludf.DUMMYFUNCTION("IMPORTRANGE(""https://docs.google.com/spreadsheets/d/1SX6NBoVAgQJ6U1MVXOaj8PK2l7WJ3RER9xtqwdhxkhw/edit?usp=sharing"",""จันทบุรี!M448"")"),0)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IFERROR(__xludf.DUMMYFUNCTION("IMPORTRANGE(""https://docs.google.com/spreadsheets/d/1SX6NBoVAgQJ6U1MVXOaj8PK2l7WJ3RER9xtqwdhxkhw/edit?usp=sharing"",""จันทบุรี!L449"")"),0)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IFERROR(__xludf.DUMMYFUNCTION("IMPORTRANGE(""https://docs.google.com/spreadsheets/d/1SX6NBoVAgQJ6U1MVXOaj8PK2l7WJ3RER9xtqwdhxkhw/edit?usp=sharing"",""จันทบุรี!M449"")"),0)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IFERROR(__xludf.DUMMYFUNCTION("IMPORTRANGE(""https://docs.google.com/spreadsheets/d/1SX6NBoVAgQJ6U1MVXOaj8PK2l7WJ3RER9xtqwdhxkhw/edit?usp=sharing"",""จันทบุรี!L450"")"),0)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IFERROR(__xludf.DUMMYFUNCTION("IMPORTRANGE(""https://docs.google.com/spreadsheets/d/1SX6NBoVAgQJ6U1MVXOaj8PK2l7WJ3RER9xtqwdhxkhw/edit?usp=sharing"",""จันทบุรี!M450"")"),0)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IFERROR(__xludf.DUMMYFUNCTION("IMPORTRANGE(""https://docs.google.com/spreadsheets/d/1SX6NBoVAgQJ6U1MVXOaj8PK2l7WJ3RER9xtqwdhxkhw/edit?usp=sharing"",""จันทบุรี!M451"")"),0)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IFERROR(__xludf.DUMMYFUNCTION("IMPORTRANGE(""https://docs.google.com/spreadsheets/d/1SX6NBoVAgQJ6U1MVXOaj8PK2l7WJ3RER9xtqwdhxkhw/edit?usp=sharing"",""จันทบุรี!M452"")"),0)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IFERROR(__xludf.DUMMYFUNCTION("IMPORTRANGE(""https://docs.google.com/spreadsheets/d/1SX6NBoVAgQJ6U1MVXOaj8PK2l7WJ3RER9xtqwdhxkhw/edit?usp=sharing"",""จันทบุรี!M453"")"),0)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IFERROR(__xludf.DUMMYFUNCTION("IMPORTRANGE(""https://docs.google.com/spreadsheets/d/1SX6NBoVAgQJ6U1MVXOaj8PK2l7WJ3RER9xtqwdhxkhw/edit?usp=sharing"",""จันทบุรี!M454"")"),0)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IFERROR(__xludf.DUMMYFUNCTION("IMPORTRANGE(""https://docs.google.com/spreadsheets/d/1SX6NBoVAgQJ6U1MVXOaj8PK2l7WJ3RER9xtqwdhxkhw/edit?usp=sharing"",""จันทบุรี!I455"")"),0)</f>
        <v>0</v>
      </c>
      <c r="J560" s="164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IFERROR(__xludf.DUMMYFUNCTION("IMPORTRANGE(""https://docs.google.com/spreadsheets/d/1SX6NBoVAgQJ6U1MVXOaj8PK2l7WJ3RER9xtqwdhxkhw/edit?usp=sharing"",""จันทบุรี!I456"")"),0)</f>
        <v>0</v>
      </c>
      <c r="J561" s="205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IFERROR(__xludf.DUMMYFUNCTION("IMPORTRANGE(""https://docs.google.com/spreadsheets/d/1SX6NBoVAgQJ6U1MVXOaj8PK2l7WJ3RER9xtqwdhxkhw/edit?usp=sharing"",""จันทบุรี!I457"")"),0)</f>
        <v>0</v>
      </c>
      <c r="J562" s="205" t="str">
        <f ca="1">IFERROR(__xludf.DUMMYFUNCTION("IMPORTRANGE(""https://docs.google.com/spreadsheets/d/1SX6NBoVAgQJ6U1MVXOaj8PK2l7WJ3RER9xtqwdhxkhw/edit?usp=sharing"",""จันทบุรี!J457"")"),"")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IFERROR(__xludf.DUMMYFUNCTION("IMPORTRANGE(""https://docs.google.com/spreadsheets/d/1SX6NBoVAgQJ6U1MVXOaj8PK2l7WJ3RER9xtqwdhxkhw/edit?usp=sharing"",""จันทบุรี!I458"")"),0)</f>
        <v>0</v>
      </c>
      <c r="J563" s="189" t="str">
        <f ca="1">IFERROR(__xludf.DUMMYFUNCTION("IMPORTRANGE(""https://docs.google.com/spreadsheets/d/1SX6NBoVAgQJ6U1MVXOaj8PK2l7WJ3RER9xtqwdhxkhw/edit?usp=sharing"",""จันทบุรี!J458"")"),"")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IFERROR(__xludf.DUMMYFUNCTION("IMPORTRANGE(""https://docs.google.com/spreadsheets/d/1SX6NBoVAgQJ6U1MVXOaj8PK2l7WJ3RER9xtqwdhxkhw/edit?usp=sharing"",""จันทบุรี!J459"")"),1023)</f>
        <v>1023</v>
      </c>
      <c r="K564" s="372">
        <f t="shared" ca="1" si="121"/>
        <v>146.14285714285714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IFERROR(__xludf.DUMMYFUNCTION("IMPORTRANGE(""https://docs.google.com/spreadsheets/d/1SX6NBoVAgQJ6U1MVXOaj8PK2l7WJ3RER9xtqwdhxkhw/edit?usp=sharing"",""จันทบุรี!M459"")"),22133)</f>
        <v>22133</v>
      </c>
      <c r="O564" s="373">
        <f t="shared" ref="O564:O568" ca="1" si="122">+IF(L564&gt;0,N564*100/L564,0)</f>
        <v>17.554727157360407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IFERROR(__xludf.DUMMYFUNCTION("IMPORTRANGE(""https://docs.google.com/spreadsheets/d/1SX6NBoVAgQJ6U1MVXOaj8PK2l7WJ3RER9xtqwdhxkhw/edit?usp=sharing"",""จันทบุรี!L460"")"),0)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IFERROR(__xludf.DUMMYFUNCTION("IMPORTRANGE(""https://docs.google.com/spreadsheets/d/1SX6NBoVAgQJ6U1MVXOaj8PK2l7WJ3RER9xtqwdhxkhw/edit?usp=sharing"",""จันทบุรี!M460"")"),0)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IFERROR(__xludf.DUMMYFUNCTION("IMPORTRANGE(""https://docs.google.com/spreadsheets/d/1SX6NBoVAgQJ6U1MVXOaj8PK2l7WJ3RER9xtqwdhxkhw/edit?usp=sharing"",""จันทบุรี!L461"")"),126080)</f>
        <v>126080</v>
      </c>
      <c r="M566" s="167"/>
      <c r="N566" s="170">
        <f ca="1">IFERROR(__xludf.DUMMYFUNCTION("IMPORTRANGE(""https://docs.google.com/spreadsheets/d/1SX6NBoVAgQJ6U1MVXOaj8PK2l7WJ3RER9xtqwdhxkhw/edit?usp=sharing"",""จันทบุรี!M461"")"),22133)</f>
        <v>22133</v>
      </c>
      <c r="O566" s="170">
        <f t="shared" ca="1" si="122"/>
        <v>17.554727157360407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IFERROR(__xludf.DUMMYFUNCTION("IMPORTRANGE(""https://docs.google.com/spreadsheets/d/1SX6NBoVAgQJ6U1MVXOaj8PK2l7WJ3RER9xtqwdhxkhw/edit?usp=sharing"",""จันทบุรี!L462"")"),0)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IFERROR(__xludf.DUMMYFUNCTION("IMPORTRANGE(""https://docs.google.com/spreadsheets/d/1SX6NBoVAgQJ6U1MVXOaj8PK2l7WJ3RER9xtqwdhxkhw/edit?usp=sharing"",""จันทบุรี!M462"")"),0)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IFERROR(__xludf.DUMMYFUNCTION("IMPORTRANGE(""https://docs.google.com/spreadsheets/d/1SX6NBoVAgQJ6U1MVXOaj8PK2l7WJ3RER9xtqwdhxkhw/edit?usp=sharing"",""จันทบุรี!L463"")"),126080)</f>
        <v>126080</v>
      </c>
      <c r="M568" s="170"/>
      <c r="N568" s="170">
        <f ca="1">IFERROR(__xludf.DUMMYFUNCTION("IMPORTRANGE(""https://docs.google.com/spreadsheets/d/1SX6NBoVAgQJ6U1MVXOaj8PK2l7WJ3RER9xtqwdhxkhw/edit?usp=sharing"",""จันทบุรี!M463"")"),22133)</f>
        <v>22133</v>
      </c>
      <c r="O568" s="170">
        <f t="shared" ca="1" si="122"/>
        <v>17.554727157360407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IFERROR(__xludf.DUMMYFUNCTION("IMPORTRANGE(""https://docs.google.com/spreadsheets/d/1SX6NBoVAgQJ6U1MVXOaj8PK2l7WJ3RER9xtqwdhxkhw/edit?usp=sharing"",""จันทบุรี!M464"")"),0)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IFERROR(__xludf.DUMMYFUNCTION("IMPORTRANGE(""https://docs.google.com/spreadsheets/d/1SX6NBoVAgQJ6U1MVXOaj8PK2l7WJ3RER9xtqwdhxkhw/edit?usp=sharing"",""จันทบุรี!M465"")"),0)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IFERROR(__xludf.DUMMYFUNCTION("IMPORTRANGE(""https://docs.google.com/spreadsheets/d/1SX6NBoVAgQJ6U1MVXOaj8PK2l7WJ3RER9xtqwdhxkhw/edit?usp=sharing"",""จันทบุรี!M466"")"),10633)</f>
        <v>10633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IFERROR(__xludf.DUMMYFUNCTION("IMPORTRANGE(""https://docs.google.com/spreadsheets/d/1SX6NBoVAgQJ6U1MVXOaj8PK2l7WJ3RER9xtqwdhxkhw/edit?usp=sharing"",""จันทบุรี!M467"")"),11500)</f>
        <v>11500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IFERROR(__xludf.DUMMYFUNCTION("IMPORTRANGE(""https://docs.google.com/spreadsheets/d/1SX6NBoVAgQJ6U1MVXOaj8PK2l7WJ3RER9xtqwdhxkhw/edit?usp=sharing"",""จันทบุรี!J468"")"),1023)</f>
        <v>1023</v>
      </c>
      <c r="K573" s="203">
        <f ca="1">IF(I573&gt;0,J573*100/I573,0)</f>
        <v>146.14285714285714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IFERROR(__xludf.DUMMYFUNCTION("IMPORTRANGE(""https://docs.google.com/spreadsheets/d/1SX6NBoVAgQJ6U1MVXOaj8PK2l7WJ3RER9xtqwdhxkhw/edit?usp=sharing"",""จันทบุรี!I470"")"),0)</f>
        <v>0</v>
      </c>
      <c r="J575" s="199">
        <f ca="1">IFERROR(__xludf.DUMMYFUNCTION("IMPORTRANGE(""https://docs.google.com/spreadsheets/d/1SX6NBoVAgQJ6U1MVXOaj8PK2l7WJ3RER9xtqwdhxkhw/edit?usp=sharing"",""จันทบุรี!J470"")"),4)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IFERROR(__xludf.DUMMYFUNCTION("IMPORTRANGE(""https://docs.google.com/spreadsheets/d/1SX6NBoVAgQJ6U1MVXOaj8PK2l7WJ3RER9xtqwdhxkhw/edit?usp=sharing"",""จันทบุรี!I471"")"),0)</f>
        <v>0</v>
      </c>
      <c r="J576" s="199">
        <f ca="1">IFERROR(__xludf.DUMMYFUNCTION("IMPORTRANGE(""https://docs.google.com/spreadsheets/d/1SX6NBoVAgQJ6U1MVXOaj8PK2l7WJ3RER9xtqwdhxkhw/edit?usp=sharing"",""จันทบุรี!J471"")"),98)</f>
        <v>98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IFERROR(__xludf.DUMMYFUNCTION("IMPORTRANGE(""https://docs.google.com/spreadsheets/d/1SX6NBoVAgQJ6U1MVXOaj8PK2l7WJ3RER9xtqwdhxkhw/edit?usp=sharing"",""จันทบุรี!I472"")"),0)</f>
        <v>0</v>
      </c>
      <c r="J577" s="190">
        <f ca="1">IFERROR(__xludf.DUMMYFUNCTION("IMPORTRANGE(""https://docs.google.com/spreadsheets/d/1SX6NBoVAgQJ6U1MVXOaj8PK2l7WJ3RER9xtqwdhxkhw/edit?usp=sharing"",""จันทบุรี!J472"")"),914)</f>
        <v>914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IFERROR(__xludf.DUMMYFUNCTION("IMPORTRANGE(""https://docs.google.com/spreadsheets/d/1SX6NBoVAgQJ6U1MVXOaj8PK2l7WJ3RER9xtqwdhxkhw/edit?usp=sharing"",""จันทบุรี!I473"")"),0)</f>
        <v>0</v>
      </c>
      <c r="J578" s="199">
        <f ca="1">IFERROR(__xludf.DUMMYFUNCTION("IMPORTRANGE(""https://docs.google.com/spreadsheets/d/1SX6NBoVAgQJ6U1MVXOaj8PK2l7WJ3RER9xtqwdhxkhw/edit?usp=sharing"",""จันทบุรี!J473"")"),3)</f>
        <v>3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IFERROR(__xludf.DUMMYFUNCTION("IMPORTRANGE(""https://docs.google.com/spreadsheets/d/1SX6NBoVAgQJ6U1MVXOaj8PK2l7WJ3RER9xtqwdhxkhw/edit?usp=sharing"",""จันทบุรี!I474"")"),0)</f>
        <v>0</v>
      </c>
      <c r="J579" s="199">
        <f ca="1">IFERROR(__xludf.DUMMYFUNCTION("IMPORTRANGE(""https://docs.google.com/spreadsheets/d/1SX6NBoVAgQJ6U1MVXOaj8PK2l7WJ3RER9xtqwdhxkhw/edit?usp=sharing"",""จันทบุรี!J474"")"),8)</f>
        <v>8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IFERROR(__xludf.DUMMYFUNCTION("IMPORTRANGE(""https://docs.google.com/spreadsheets/d/1SX6NBoVAgQJ6U1MVXOaj8PK2l7WJ3RER9xtqwdhxkhw/edit?usp=sharing"",""จันทบุรี!L476"")"),0)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IFERROR(__xludf.DUMMYFUNCTION("IMPORTRANGE(""https://docs.google.com/spreadsheets/d/1SX6NBoVAgQJ6U1MVXOaj8PK2l7WJ3RER9xtqwdhxkhw/edit?usp=sharing"",""จันทบุรี!M476"")"),0)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IFERROR(__xludf.DUMMYFUNCTION("IMPORTRANGE(""https://docs.google.com/spreadsheets/d/1SX6NBoVAgQJ6U1MVXOaj8PK2l7WJ3RER9xtqwdhxkhw/edit?usp=sharing"",""จันทบุรี!L477"")"),0)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IFERROR(__xludf.DUMMYFUNCTION("IMPORTRANGE(""https://docs.google.com/spreadsheets/d/1SX6NBoVAgQJ6U1MVXOaj8PK2l7WJ3RER9xtqwdhxkhw/edit?usp=sharing"",""จันทบุรี!M477"")"),0)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IFERROR(__xludf.DUMMYFUNCTION("IMPORTRANGE(""https://docs.google.com/spreadsheets/d/1SX6NBoVAgQJ6U1MVXOaj8PK2l7WJ3RER9xtqwdhxkhw/edit?usp=sharing"",""จันทบุรี!L478"")"),0)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IFERROR(__xludf.DUMMYFUNCTION("IMPORTRANGE(""https://docs.google.com/spreadsheets/d/1SX6NBoVAgQJ6U1MVXOaj8PK2l7WJ3RER9xtqwdhxkhw/edit?usp=sharing"",""จันทบุรี!M478"")"),0)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IFERROR(__xludf.DUMMYFUNCTION("IMPORTRANGE(""https://docs.google.com/spreadsheets/d/1SX6NBoVAgQJ6U1MVXOaj8PK2l7WJ3RER9xtqwdhxkhw/edit?usp=sharing"",""จันทบุรี!L479"")"),0)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IFERROR(__xludf.DUMMYFUNCTION("IMPORTRANGE(""https://docs.google.com/spreadsheets/d/1SX6NBoVAgQJ6U1MVXOaj8PK2l7WJ3RER9xtqwdhxkhw/edit?usp=sharing"",""จันทบุรี!M479"")"),0)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IFERROR(__xludf.DUMMYFUNCTION("IMPORTRANGE(""https://docs.google.com/spreadsheets/d/1SX6NBoVAgQJ6U1MVXOaj8PK2l7WJ3RER9xtqwdhxkhw/edit?usp=sharing"",""จันทบุรี!M480"")"),0)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IFERROR(__xludf.DUMMYFUNCTION("IMPORTRANGE(""https://docs.google.com/spreadsheets/d/1SX6NBoVAgQJ6U1MVXOaj8PK2l7WJ3RER9xtqwdhxkhw/edit?usp=sharing"",""จันทบุรี!M481"")"),0)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IFERROR(__xludf.DUMMYFUNCTION("IMPORTRANGE(""https://docs.google.com/spreadsheets/d/1SX6NBoVAgQJ6U1MVXOaj8PK2l7WJ3RER9xtqwdhxkhw/edit?usp=sharing"",""จันทบุรี!M482"")"),0)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IFERROR(__xludf.DUMMYFUNCTION("IMPORTRANGE(""https://docs.google.com/spreadsheets/d/1SX6NBoVAgQJ6U1MVXOaj8PK2l7WJ3RER9xtqwdhxkhw/edit?usp=sharing"",""จันทบุรี!M483"")"),0)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IFERROR(__xludf.DUMMYFUNCTION("IMPORTRANGE(""https://docs.google.com/spreadsheets/d/1SX6NBoVAgQJ6U1MVXOaj8PK2l7WJ3RER9xtqwdhxkhw/edit?usp=sharing"",""จันทบุรี!I484"")"),0)</f>
        <v>0</v>
      </c>
      <c r="J589" s="189">
        <f ca="1">IFERROR(__xludf.DUMMYFUNCTION("IMPORTRANGE(""https://docs.google.com/spreadsheets/d/1SX6NBoVAgQJ6U1MVXOaj8PK2l7WJ3RER9xtqwdhxkhw/edit?usp=sharing"",""จันทบุรี!J484"")"),0)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9">
        <f ca="1">IFERROR(__xludf.DUMMYFUNCTION("IMPORTRANGE(""https://docs.google.com/spreadsheets/d/1SX6NBoVAgQJ6U1MVXOaj8PK2l7WJ3RER9xtqwdhxkhw/edit?usp=sharing"",""จันทบุรี!J485"")"),0)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IFERROR(__xludf.DUMMYFUNCTION("IMPORTRANGE(""https://docs.google.com/spreadsheets/d/1SX6NBoVAgQJ6U1MVXOaj8PK2l7WJ3RER9xtqwdhxkhw/edit?usp=sharing"",""จันทบุรี!I486"")"),0)</f>
        <v>0</v>
      </c>
      <c r="J591" s="189">
        <f ca="1">IFERROR(__xludf.DUMMYFUNCTION("IMPORTRANGE(""https://docs.google.com/spreadsheets/d/1SX6NBoVAgQJ6U1MVXOaj8PK2l7WJ3RER9xtqwdhxkhw/edit?usp=sharing"",""จันทบุรี!J486"")"),0)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9">
        <f ca="1">IFERROR(__xludf.DUMMYFUNCTION("IMPORTRANGE(""https://docs.google.com/spreadsheets/d/1SX6NBoVAgQJ6U1MVXOaj8PK2l7WJ3RER9xtqwdhxkhw/edit?usp=sharing"",""จันทบุรี!J487"")"),0)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IFERROR(__xludf.DUMMYFUNCTION("IMPORTRANGE(""https://docs.google.com/spreadsheets/d/1SX6NBoVAgQJ6U1MVXOaj8PK2l7WJ3RER9xtqwdhxkhw/edit?usp=sharing"",""จันทบุรี!I488"")"),0)</f>
        <v>0</v>
      </c>
      <c r="J593" s="189">
        <f ca="1">IFERROR(__xludf.DUMMYFUNCTION("IMPORTRANGE(""https://docs.google.com/spreadsheets/d/1SX6NBoVAgQJ6U1MVXOaj8PK2l7WJ3RER9xtqwdhxkhw/edit?usp=sharing"",""จันทบุรี!J488"")"),0)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9">
        <f ca="1">IFERROR(__xludf.DUMMYFUNCTION("IMPORTRANGE(""https://docs.google.com/spreadsheets/d/1SX6NBoVAgQJ6U1MVXOaj8PK2l7WJ3RER9xtqwdhxkhw/edit?usp=sharing"",""จันทบุรี!J489"")"),0)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IFERROR(__xludf.DUMMYFUNCTION("IMPORTRANGE(""https://docs.google.com/spreadsheets/d/1SX6NBoVAgQJ6U1MVXOaj8PK2l7WJ3RER9xtqwdhxkhw/edit?usp=sharing"",""จันทบุรี!I490"")"),0)</f>
        <v>0</v>
      </c>
      <c r="J595" s="189">
        <f ca="1">IFERROR(__xludf.DUMMYFUNCTION("IMPORTRANGE(""https://docs.google.com/spreadsheets/d/1SX6NBoVAgQJ6U1MVXOaj8PK2l7WJ3RER9xtqwdhxkhw/edit?usp=sharing"",""จันทบุรี!J490"")"),0)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7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IFERROR(__xludf.DUMMYFUNCTION("IMPORTRANGE(""https://docs.google.com/spreadsheets/d/1SX6NBoVAgQJ6U1MVXOaj8PK2l7WJ3RER9xtqwdhxkhw/edit?usp=sharing"",""จันทบุรี!L493"")"),0)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IFERROR(__xludf.DUMMYFUNCTION("IMPORTRANGE(""https://docs.google.com/spreadsheets/d/1SX6NBoVAgQJ6U1MVXOaj8PK2l7WJ3RER9xtqwdhxkhw/edit?usp=sharing"",""จันทบุรี!M493"")"),0)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IFERROR(__xludf.DUMMYFUNCTION("IMPORTRANGE(""https://docs.google.com/spreadsheets/d/1SX6NBoVAgQJ6U1MVXOaj8PK2l7WJ3RER9xtqwdhxkhw/edit?usp=sharing"",""จันทบุรี!L494"")"),4550)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IFERROR(__xludf.DUMMYFUNCTION("IMPORTRANGE(""https://docs.google.com/spreadsheets/d/1SX6NBoVAgQJ6U1MVXOaj8PK2l7WJ3RER9xtqwdhxkhw/edit?usp=sharing"",""จันทบุรี!M494"")"),650)</f>
        <v>650</v>
      </c>
      <c r="O599" s="170">
        <f t="shared" ca="1" si="126"/>
        <v>14.285714285714286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IFERROR(__xludf.DUMMYFUNCTION("IMPORTRANGE(""https://docs.google.com/spreadsheets/d/1SX6NBoVAgQJ6U1MVXOaj8PK2l7WJ3RER9xtqwdhxkhw/edit?usp=sharing"",""จันทบุรี!L495"")"),0)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IFERROR(__xludf.DUMMYFUNCTION("IMPORTRANGE(""https://docs.google.com/spreadsheets/d/1SX6NBoVAgQJ6U1MVXOaj8PK2l7WJ3RER9xtqwdhxkhw/edit?usp=sharing"",""จันทบุรี!M495"")"),0)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IFERROR(__xludf.DUMMYFUNCTION("IMPORTRANGE(""https://docs.google.com/spreadsheets/d/1SX6NBoVAgQJ6U1MVXOaj8PK2l7WJ3RER9xtqwdhxkhw/edit?usp=sharing"",""จันทบุรี!L496"")"),4550)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IFERROR(__xludf.DUMMYFUNCTION("IMPORTRANGE(""https://docs.google.com/spreadsheets/d/1SX6NBoVAgQJ6U1MVXOaj8PK2l7WJ3RER9xtqwdhxkhw/edit?usp=sharing"",""จันทบุรี!M496"")"),650)</f>
        <v>650</v>
      </c>
      <c r="O601" s="170">
        <f t="shared" ca="1" si="126"/>
        <v>14.285714285714286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IFERROR(__xludf.DUMMYFUNCTION("IMPORTRANGE(""https://docs.google.com/spreadsheets/d/1SX6NBoVAgQJ6U1MVXOaj8PK2l7WJ3RER9xtqwdhxkhw/edit?usp=sharing"",""จันทบุรี!M497"")"),0)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IFERROR(__xludf.DUMMYFUNCTION("IMPORTRANGE(""https://docs.google.com/spreadsheets/d/1SX6NBoVAgQJ6U1MVXOaj8PK2l7WJ3RER9xtqwdhxkhw/edit?usp=sharing"",""จันทบุรี!M498"")"),0)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IFERROR(__xludf.DUMMYFUNCTION("IMPORTRANGE(""https://docs.google.com/spreadsheets/d/1SX6NBoVAgQJ6U1MVXOaj8PK2l7WJ3RER9xtqwdhxkhw/edit?usp=sharing"",""จันทบุรี!J502"")"),0)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IFERROR(__xludf.DUMMYFUNCTION("IMPORTRANGE(""https://docs.google.com/spreadsheets/d/1SX6NBoVAgQJ6U1MVXOaj8PK2l7WJ3RER9xtqwdhxkhw/edit?usp=sharing"",""จันทบุรี!J503"")"),1)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IFERROR(__xludf.DUMMYFUNCTION("IMPORTRANGE(""https://docs.google.com/spreadsheets/d/1SX6NBoVAgQJ6U1MVXOaj8PK2l7WJ3RER9xtqwdhxkhw/edit?usp=sharing"",""จันทบุรี!I506"")"),50)</f>
        <v>50</v>
      </c>
      <c r="J611" s="164">
        <f ca="1">IFERROR(__xludf.DUMMYFUNCTION("IMPORTRANGE(""https://docs.google.com/spreadsheets/d/1SX6NBoVAgQJ6U1MVXOaj8PK2l7WJ3RER9xtqwdhxkhw/edit?usp=sharing"",""จันทบุรี!J506"")"),0)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IFERROR(__xludf.DUMMYFUNCTION("IMPORTRANGE(""https://docs.google.com/spreadsheets/d/1SX6NBoVAgQJ6U1MVXOaj8PK2l7WJ3RER9xtqwdhxkhw/edit?usp=sharing"",""จันทบุรี!I507"")"),0)</f>
        <v>0</v>
      </c>
      <c r="J612" s="199">
        <f ca="1">IFERROR(__xludf.DUMMYFUNCTION("IMPORTRANGE(""https://docs.google.com/spreadsheets/d/1SX6NBoVAgQJ6U1MVXOaj8PK2l7WJ3RER9xtqwdhxkhw/edit?usp=sharing"",""จันทบุรี!J507"")"),0)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IFERROR(__xludf.DUMMYFUNCTION("IMPORTRANGE(""https://docs.google.com/spreadsheets/d/1SX6NBoVAgQJ6U1MVXOaj8PK2l7WJ3RER9xtqwdhxkhw/edit?usp=sharing"",""จันทบุรี!I508"")"),0)</f>
        <v>0</v>
      </c>
      <c r="J613" s="199">
        <f ca="1">IFERROR(__xludf.DUMMYFUNCTION("IMPORTRANGE(""https://docs.google.com/spreadsheets/d/1SX6NBoVAgQJ6U1MVXOaj8PK2l7WJ3RER9xtqwdhxkhw/edit?usp=sharing"",""จันทบุรี!J508"")"),0)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IFERROR(__xludf.DUMMYFUNCTION("IMPORTRANGE(""https://docs.google.com/spreadsheets/d/1SX6NBoVAgQJ6U1MVXOaj8PK2l7WJ3RER9xtqwdhxkhw/edit?usp=sharing"",""จันทบุรี!I509"")"),0)</f>
        <v>0</v>
      </c>
      <c r="J614" s="199">
        <f ca="1">IFERROR(__xludf.DUMMYFUNCTION("IMPORTRANGE(""https://docs.google.com/spreadsheets/d/1SX6NBoVAgQJ6U1MVXOaj8PK2l7WJ3RER9xtqwdhxkhw/edit?usp=sharing"",""จันทบุรี!J509"")"),0)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IFERROR(__xludf.DUMMYFUNCTION("IMPORTRANGE(""https://docs.google.com/spreadsheets/d/1SX6NBoVAgQJ6U1MVXOaj8PK2l7WJ3RER9xtqwdhxkhw/edit?usp=sharing"",""จันทบุรี!I510"")"),0)</f>
        <v>0</v>
      </c>
      <c r="J615" s="199">
        <f ca="1">IFERROR(__xludf.DUMMYFUNCTION("IMPORTRANGE(""https://docs.google.com/spreadsheets/d/1SX6NBoVAgQJ6U1MVXOaj8PK2l7WJ3RER9xtqwdhxkhw/edit?usp=sharing"",""จันทบุรี!J510"")"),0)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IFERROR(__xludf.DUMMYFUNCTION("IMPORTRANGE(""https://docs.google.com/spreadsheets/d/1SX6NBoVAgQJ6U1MVXOaj8PK2l7WJ3RER9xtqwdhxkhw/edit?usp=sharing"",""จันทบุรี!I511"")"),0)</f>
        <v>0</v>
      </c>
      <c r="J616" s="199">
        <f ca="1">IFERROR(__xludf.DUMMYFUNCTION("IMPORTRANGE(""https://docs.google.com/spreadsheets/d/1SX6NBoVAgQJ6U1MVXOaj8PK2l7WJ3RER9xtqwdhxkhw/edit?usp=sharing"",""จันทบุรี!J511"")"),0)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IFERROR(__xludf.DUMMYFUNCTION("IMPORTRANGE(""https://docs.google.com/spreadsheets/d/1SX6NBoVAgQJ6U1MVXOaj8PK2l7WJ3RER9xtqwdhxkhw/edit?usp=sharing"",""จันทบุรี!I512"")"),0)</f>
        <v>0</v>
      </c>
      <c r="J617" s="189">
        <f ca="1">IFERROR(__xludf.DUMMYFUNCTION("IMPORTRANGE(""https://docs.google.com/spreadsheets/d/1SX6NBoVAgQJ6U1MVXOaj8PK2l7WJ3RER9xtqwdhxkhw/edit?usp=sharing"",""จันทบุรี!J512"")"),0)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IFERROR(__xludf.DUMMYFUNCTION("IMPORTRANGE(""https://docs.google.com/spreadsheets/d/1SX6NBoVAgQJ6U1MVXOaj8PK2l7WJ3RER9xtqwdhxkhw/edit?usp=sharing"",""จันทบุรี!I513"")"),0)</f>
        <v>0</v>
      </c>
      <c r="J618" s="190">
        <f ca="1">IFERROR(__xludf.DUMMYFUNCTION("IMPORTRANGE(""https://docs.google.com/spreadsheets/d/1SX6NBoVAgQJ6U1MVXOaj8PK2l7WJ3RER9xtqwdhxkhw/edit?usp=sharing"",""จันทบุรี!J513"")"),0)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IFERROR(__xludf.DUMMYFUNCTION("IMPORTRANGE(""https://docs.google.com/spreadsheets/d/1SX6NBoVAgQJ6U1MVXOaj8PK2l7WJ3RER9xtqwdhxkhw/edit?usp=sharing"",""จันทบุรี!I514"")"),0)</f>
        <v>0</v>
      </c>
      <c r="J619" s="190">
        <f ca="1">IFERROR(__xludf.DUMMYFUNCTION("IMPORTRANGE(""https://docs.google.com/spreadsheets/d/1SX6NBoVAgQJ6U1MVXOaj8PK2l7WJ3RER9xtqwdhxkhw/edit?usp=sharing"",""จันทบุรี!J514"")"),0)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IFERROR(__xludf.DUMMYFUNCTION("IMPORTRANGE(""https://docs.google.com/spreadsheets/d/1SX6NBoVAgQJ6U1MVXOaj8PK2l7WJ3RER9xtqwdhxkhw/edit?usp=sharing"",""จันทบุรี!I515"")"),0)</f>
        <v>0</v>
      </c>
      <c r="J620" s="204">
        <f ca="1">IFERROR(__xludf.DUMMYFUNCTION("IMPORTRANGE(""https://docs.google.com/spreadsheets/d/1SX6NBoVAgQJ6U1MVXOaj8PK2l7WJ3RER9xtqwdhxkhw/edit?usp=sharing"",""จันทบุรี!J515"")"),0)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IFERROR(__xludf.DUMMYFUNCTION("IMPORTRANGE(""https://docs.google.com/spreadsheets/d/1SX6NBoVAgQJ6U1MVXOaj8PK2l7WJ3RER9xtqwdhxkhw/edit?usp=sharing"",""จันทบุรี!I516"")"),0)</f>
        <v>0</v>
      </c>
      <c r="J621" s="204">
        <f ca="1">IFERROR(__xludf.DUMMYFUNCTION("IMPORTRANGE(""https://docs.google.com/spreadsheets/d/1SX6NBoVAgQJ6U1MVXOaj8PK2l7WJ3RER9xtqwdhxkhw/edit?usp=sharing"",""จันทบุรี!J516"")"),0)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IFERROR(__xludf.DUMMYFUNCTION("IMPORTRANGE(""https://docs.google.com/spreadsheets/d/1SX6NBoVAgQJ6U1MVXOaj8PK2l7WJ3RER9xtqwdhxkhw/edit?usp=sharing"",""จันทบุรี!I517"")"),0)</f>
        <v>0</v>
      </c>
      <c r="J622" s="190">
        <f ca="1">IFERROR(__xludf.DUMMYFUNCTION("IMPORTRANGE(""https://docs.google.com/spreadsheets/d/1SX6NBoVAgQJ6U1MVXOaj8PK2l7WJ3RER9xtqwdhxkhw/edit?usp=sharing"",""จันทบุรี!J517"")"),0)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IFERROR(__xludf.DUMMYFUNCTION("IMPORTRANGE(""https://docs.google.com/spreadsheets/d/1SX6NBoVAgQJ6U1MVXOaj8PK2l7WJ3RER9xtqwdhxkhw/edit?usp=sharing"",""จันทบุรี!I518"")"),0)</f>
        <v>0</v>
      </c>
      <c r="J623" s="190">
        <f ca="1">IFERROR(__xludf.DUMMYFUNCTION("IMPORTRANGE(""https://docs.google.com/spreadsheets/d/1SX6NBoVAgQJ6U1MVXOaj8PK2l7WJ3RER9xtqwdhxkhw/edit?usp=sharing"",""จันทบุรี!J518"")"),0)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IFERROR(__xludf.DUMMYFUNCTION("IMPORTRANGE(""https://docs.google.com/spreadsheets/d/1SX6NBoVAgQJ6U1MVXOaj8PK2l7WJ3RER9xtqwdhxkhw/edit?usp=sharing"",""จันทบุรี!I519"")"),0)</f>
        <v>0</v>
      </c>
      <c r="J624" s="189">
        <f ca="1">IFERROR(__xludf.DUMMYFUNCTION("IMPORTRANGE(""https://docs.google.com/spreadsheets/d/1SX6NBoVAgQJ6U1MVXOaj8PK2l7WJ3RER9xtqwdhxkhw/edit?usp=sharing"",""จันทบุรี!J519"")"),0)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IFERROR(__xludf.DUMMYFUNCTION("IMPORTRANGE(""https://docs.google.com/spreadsheets/d/1SX6NBoVAgQJ6U1MVXOaj8PK2l7WJ3RER9xtqwdhxkhw/edit?usp=sharing"",""จันทบุรี!I520"")"),0)</f>
        <v>0</v>
      </c>
      <c r="J625" s="190">
        <f ca="1">IFERROR(__xludf.DUMMYFUNCTION("IMPORTRANGE(""https://docs.google.com/spreadsheets/d/1SX6NBoVAgQJ6U1MVXOaj8PK2l7WJ3RER9xtqwdhxkhw/edit?usp=sharing"",""จันทบุรี!J520"")"),0)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IFERROR(__xludf.DUMMYFUNCTION("IMPORTRANGE(""https://docs.google.com/spreadsheets/d/1SX6NBoVAgQJ6U1MVXOaj8PK2l7WJ3RER9xtqwdhxkhw/edit?usp=sharing"",""จันทบุรี!I521"")"),0)</f>
        <v>0</v>
      </c>
      <c r="J626" s="190">
        <f ca="1">IFERROR(__xludf.DUMMYFUNCTION("IMPORTRANGE(""https://docs.google.com/spreadsheets/d/1SX6NBoVAgQJ6U1MVXOaj8PK2l7WJ3RER9xtqwdhxkhw/edit?usp=sharing"",""จันทบุรี!J521"")"),0)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IFERROR(__xludf.DUMMYFUNCTION("IMPORTRANGE(""https://docs.google.com/spreadsheets/d/1SX6NBoVAgQJ6U1MVXOaj8PK2l7WJ3RER9xtqwdhxkhw/edit?usp=sharing"",""จันทบุรี!I523"")"),7886000)</f>
        <v>7886000</v>
      </c>
      <c r="J628" s="341">
        <f ca="1">IFERROR(__xludf.DUMMYFUNCTION("IMPORTRANGE(""https://docs.google.com/spreadsheets/d/1SX6NBoVAgQJ6U1MVXOaj8PK2l7WJ3RER9xtqwdhxkhw/edit?usp=sharing"",""จันทบุรี!J523"")"),3005000)</f>
        <v>3005000</v>
      </c>
      <c r="K628" s="342">
        <f t="shared" ref="K628:K635" ca="1" si="129">IF(I628&gt;0,J628*100/I628,0)</f>
        <v>38.105503423788996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IFERROR(__xludf.DUMMYFUNCTION("IMPORTRANGE(""https://docs.google.com/spreadsheets/d/1SX6NBoVAgQJ6U1MVXOaj8PK2l7WJ3RER9xtqwdhxkhw/edit?usp=sharing"",""จันทบุรี!I524"")"),395)</f>
        <v>395</v>
      </c>
      <c r="J629" s="341">
        <f ca="1">IFERROR(__xludf.DUMMYFUNCTION("IMPORTRANGE(""https://docs.google.com/spreadsheets/d/1SX6NBoVAgQJ6U1MVXOaj8PK2l7WJ3RER9xtqwdhxkhw/edit?usp=sharing"",""จันทบุรี!J524"")"),151)</f>
        <v>151</v>
      </c>
      <c r="K629" s="342">
        <f t="shared" ca="1" si="129"/>
        <v>38.22784810126582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1">
        <f ca="1">IFERROR(__xludf.DUMMYFUNCTION("IMPORTRANGE(""https://docs.google.com/spreadsheets/d/1SX6NBoVAgQJ6U1MVXOaj8PK2l7WJ3RER9xtqwdhxkhw/edit?usp=sharing"",""จันทบุรี!J525"")"),494637.21)</f>
        <v>494637.21</v>
      </c>
      <c r="K630" s="342">
        <f t="shared" ca="1" si="129"/>
        <v>3.0372924809049975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IFERROR(__xludf.DUMMYFUNCTION("IMPORTRANGE(""https://docs.google.com/spreadsheets/d/1SX6NBoVAgQJ6U1MVXOaj8PK2l7WJ3RER9xtqwdhxkhw/edit?usp=sharing"",""จันทบุรี!I526"")"),368)</f>
        <v>368</v>
      </c>
      <c r="J631" s="341">
        <f ca="1">IFERROR(__xludf.DUMMYFUNCTION("IMPORTRANGE(""https://docs.google.com/spreadsheets/d/1SX6NBoVAgQJ6U1MVXOaj8PK2l7WJ3RER9xtqwdhxkhw/edit?usp=sharing"",""จันทบุรี!J526"")"),51)</f>
        <v>51</v>
      </c>
      <c r="K631" s="342">
        <f t="shared" ca="1" si="129"/>
        <v>13.858695652173912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1">
        <f ca="1">IFERROR(__xludf.DUMMYFUNCTION("IMPORTRANGE(""https://docs.google.com/spreadsheets/d/1SX6NBoVAgQJ6U1MVXOaj8PK2l7WJ3RER9xtqwdhxkhw/edit?usp=sharing"",""จันทบุรี!J527"")"),216023.82)</f>
        <v>216023.82</v>
      </c>
      <c r="K632" s="342">
        <f t="shared" ca="1" si="129"/>
        <v>12.449961787154246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IFERROR(__xludf.DUMMYFUNCTION("IMPORTRANGE(""https://docs.google.com/spreadsheets/d/1SX6NBoVAgQJ6U1MVXOaj8PK2l7WJ3RER9xtqwdhxkhw/edit?usp=sharing"",""จันทบุรี!I528"")"),121)</f>
        <v>121</v>
      </c>
      <c r="J633" s="341">
        <f ca="1">IFERROR(__xludf.DUMMYFUNCTION("IMPORTRANGE(""https://docs.google.com/spreadsheets/d/1SX6NBoVAgQJ6U1MVXOaj8PK2l7WJ3RER9xtqwdhxkhw/edit?usp=sharing"",""จันทบุรี!J528"")"),13)</f>
        <v>13</v>
      </c>
      <c r="K633" s="342">
        <f t="shared" ca="1" si="129"/>
        <v>10.743801652892563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IFERROR(__xludf.DUMMYFUNCTION("IMPORTRANGE(""https://docs.google.com/spreadsheets/d/1SX6NBoVAgQJ6U1MVXOaj8PK2l7WJ3RER9xtqwdhxkhw/edit?usp=sharing"",""จันทบุรี!I529"")"),4000000)</f>
        <v>4000000</v>
      </c>
      <c r="J634" s="341">
        <f ca="1">IFERROR(__xludf.DUMMYFUNCTION("IMPORTRANGE(""https://docs.google.com/spreadsheets/d/1SX6NBoVAgQJ6U1MVXOaj8PK2l7WJ3RER9xtqwdhxkhw/edit?usp=sharing"",""จันทบุรี!J529"")"),820000)</f>
        <v>820000</v>
      </c>
      <c r="K634" s="342">
        <f t="shared" ca="1" si="129"/>
        <v>20.5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IFERROR(__xludf.DUMMYFUNCTION("IMPORTRANGE(""https://docs.google.com/spreadsheets/d/1SX6NBoVAgQJ6U1MVXOaj8PK2l7WJ3RER9xtqwdhxkhw/edit?usp=sharing"",""จันทบุรี!I530"")"),200)</f>
        <v>200</v>
      </c>
      <c r="J635" s="504">
        <f ca="1">IFERROR(__xludf.DUMMYFUNCTION("IMPORTRANGE(""https://docs.google.com/spreadsheets/d/1SX6NBoVAgQJ6U1MVXOaj8PK2l7WJ3RER9xtqwdhxkhw/edit?usp=sharing"",""จันทบุรี!J530"")"),41)</f>
        <v>41</v>
      </c>
      <c r="K635" s="486">
        <f t="shared" ca="1" si="129"/>
        <v>20.5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08" activePane="bottomLeft" state="frozen"/>
      <selection activeCell="J4" sqref="J4"/>
      <selection pane="bottomLeft" activeCell="K561" sqref="K56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42578125" bestFit="1" customWidth="1"/>
    <col min="10" max="10" width="15.85546875" customWidth="1"/>
    <col min="11" max="11" width="11" bestFit="1" customWidth="1"/>
    <col min="12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242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7675554</v>
      </c>
      <c r="M8" s="23">
        <f t="shared" ca="1" si="0"/>
        <v>3268525</v>
      </c>
      <c r="N8" s="23">
        <f t="shared" ca="1" si="0"/>
        <v>2954502.66</v>
      </c>
      <c r="O8" s="22">
        <f t="shared" ref="O8:O16" ca="1" si="1">IF(L8&gt;0,N8*100/L8,0)</f>
        <v>38.492370192431714</v>
      </c>
      <c r="P8" s="22">
        <f t="shared" ref="P8:P16" ca="1" si="2">IF(M8&gt;0,N8*100/M8,0)</f>
        <v>90.392536694686441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7675554</v>
      </c>
      <c r="M10" s="30">
        <f t="shared" ca="1" si="4"/>
        <v>3268525</v>
      </c>
      <c r="N10" s="30">
        <f t="shared" ca="1" si="4"/>
        <v>2954502.66</v>
      </c>
      <c r="O10" s="29">
        <f t="shared" ca="1" si="1"/>
        <v>38.492370192431714</v>
      </c>
      <c r="P10" s="29">
        <f t="shared" ca="1" si="2"/>
        <v>90.392536694686441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6432154</v>
      </c>
      <c r="M12" s="38">
        <f t="shared" ca="1" si="6"/>
        <v>2025125</v>
      </c>
      <c r="N12" s="38">
        <f t="shared" ca="1" si="6"/>
        <v>2749102.66</v>
      </c>
      <c r="O12" s="38">
        <f t="shared" ca="1" si="1"/>
        <v>42.740000628094414</v>
      </c>
      <c r="P12" s="38">
        <f t="shared" ca="1" si="2"/>
        <v>135.74977643355348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4133354</v>
      </c>
      <c r="M14" s="38">
        <f t="shared" si="8"/>
        <v>0</v>
      </c>
      <c r="N14" s="38">
        <f t="shared" ca="1" si="8"/>
        <v>987962.66</v>
      </c>
      <c r="O14" s="38">
        <f t="shared" ca="1" si="1"/>
        <v>23.902202908340296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1243400</v>
      </c>
      <c r="M16" s="38">
        <f t="shared" ca="1" si="10"/>
        <v>1243400</v>
      </c>
      <c r="N16" s="38">
        <f t="shared" ca="1" si="10"/>
        <v>205400</v>
      </c>
      <c r="O16" s="49">
        <f t="shared" ca="1" si="1"/>
        <v>16.519221489464371</v>
      </c>
      <c r="P16" s="49">
        <f t="shared" ca="1" si="2"/>
        <v>16.519221489464371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4992635</v>
      </c>
      <c r="M18" s="23">
        <f t="shared" ca="1" si="11"/>
        <v>3268525</v>
      </c>
      <c r="N18" s="23">
        <f t="shared" ca="1" si="11"/>
        <v>1966540</v>
      </c>
      <c r="O18" s="22">
        <f t="shared" ref="O18:O20" ca="1" si="12">IF(L18&gt;0,N18*100/L18,0)</f>
        <v>39.388819731464444</v>
      </c>
      <c r="P18" s="22">
        <f t="shared" ref="P18:P26" ca="1" si="13">IF(M18&gt;0,N18*100/M18,0)</f>
        <v>60.165977007977602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4992635</v>
      </c>
      <c r="M20" s="30">
        <f t="shared" ca="1" si="15"/>
        <v>3268525</v>
      </c>
      <c r="N20" s="30">
        <f t="shared" ca="1" si="15"/>
        <v>1966540</v>
      </c>
      <c r="O20" s="29">
        <f t="shared" ca="1" si="12"/>
        <v>39.388819731464444</v>
      </c>
      <c r="P20" s="29">
        <f t="shared" ca="1" si="13"/>
        <v>60.165977007977602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3749235</v>
      </c>
      <c r="M22" s="41">
        <f t="shared" ca="1" si="18"/>
        <v>2025125</v>
      </c>
      <c r="N22" s="38">
        <f t="shared" ca="1" si="18"/>
        <v>1761140</v>
      </c>
      <c r="O22" s="38">
        <f t="shared" ca="1" si="17"/>
        <v>46.973315889774845</v>
      </c>
      <c r="P22" s="38">
        <f t="shared" ca="1" si="13"/>
        <v>86.964508363681247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1243400</v>
      </c>
      <c r="M26" s="49">
        <f t="shared" ca="1" si="22"/>
        <v>1243400</v>
      </c>
      <c r="N26" s="49">
        <f t="shared" ca="1" si="22"/>
        <v>205400</v>
      </c>
      <c r="O26" s="49">
        <f t="shared" ca="1" si="17"/>
        <v>16.519221489464371</v>
      </c>
      <c r="P26" s="49">
        <f t="shared" ca="1" si="13"/>
        <v>16.519221489464371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2682919</v>
      </c>
      <c r="M28" s="23">
        <f t="shared" si="23"/>
        <v>0</v>
      </c>
      <c r="N28" s="23">
        <f t="shared" ca="1" si="23"/>
        <v>987962.66</v>
      </c>
      <c r="O28" s="22">
        <f t="shared" ref="O28:O30" ca="1" si="24">IF(L28&gt;0,N28*100/L28,0)</f>
        <v>36.824170241442253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2682919</v>
      </c>
      <c r="M30" s="30">
        <f t="shared" si="27"/>
        <v>0</v>
      </c>
      <c r="N30" s="30">
        <f t="shared" ca="1" si="27"/>
        <v>987962.66</v>
      </c>
      <c r="O30" s="29">
        <f t="shared" ca="1" si="24"/>
        <v>36.824170241442253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2682919</v>
      </c>
      <c r="M32" s="38">
        <f t="shared" si="30"/>
        <v>0</v>
      </c>
      <c r="N32" s="38">
        <f t="shared" ca="1" si="30"/>
        <v>987962.66</v>
      </c>
      <c r="O32" s="38">
        <f t="shared" ca="1" si="29"/>
        <v>36.824170241442253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2682919</v>
      </c>
      <c r="M34" s="38">
        <f t="shared" si="32"/>
        <v>0</v>
      </c>
      <c r="N34" s="38">
        <f t="shared" ca="1" si="32"/>
        <v>987962.66</v>
      </c>
      <c r="O34" s="38">
        <f t="shared" ca="1" si="29"/>
        <v>36.824170241442253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4992635</v>
      </c>
      <c r="M37" s="54">
        <f t="shared" ca="1" si="33"/>
        <v>3268525</v>
      </c>
      <c r="N37" s="54">
        <f t="shared" ca="1" si="33"/>
        <v>1966540</v>
      </c>
      <c r="O37" s="55">
        <f t="shared" ca="1" si="29"/>
        <v>39.388819731464444</v>
      </c>
      <c r="P37" s="55">
        <f t="shared" ca="1" si="25"/>
        <v>60.165977007977602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2062100</v>
      </c>
      <c r="M41" s="78">
        <f t="shared" ca="1" si="34"/>
        <v>1598100</v>
      </c>
      <c r="N41" s="78">
        <f t="shared" ca="1" si="34"/>
        <v>535400</v>
      </c>
      <c r="O41" s="77">
        <f t="shared" ref="O41:O43" ca="1" si="35">IF(L41&gt;0,N41*100/L41,0)</f>
        <v>25.963823286940496</v>
      </c>
      <c r="P41" s="77">
        <f t="shared" ref="P41:P43" ca="1" si="36">IF(M41&gt;0,N41*100/M41,0)</f>
        <v>33.502283962205119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2062100</v>
      </c>
      <c r="M43" s="78">
        <f t="shared" ca="1" si="38"/>
        <v>1598100</v>
      </c>
      <c r="N43" s="78">
        <f t="shared" ca="1" si="38"/>
        <v>535400</v>
      </c>
      <c r="O43" s="77">
        <f t="shared" ca="1" si="35"/>
        <v>25.963823286940496</v>
      </c>
      <c r="P43" s="77">
        <f t="shared" ca="1" si="36"/>
        <v>33.502283962205119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IFERROR(__xludf.DUMMYFUNCTION("IMPORTRANGE(""https://docs.google.com/spreadsheets/d/1Yj_ptqi66GCucihVvJfMjLAmec39IyEx_6qawtMGysU/edit?usp=sharing"",""สบก!Q61"")"),464100)</f>
        <v>464100</v>
      </c>
      <c r="N45" s="49">
        <f ca="1">IFERROR(__xludf.DUMMYFUNCTION("IMPORTRANGE(""https://docs.google.com/spreadsheets/d/1Yj_ptqi66GCucihVvJfMjLAmec39IyEx_6qawtMGysU/edit?usp=sharing"",""สบก!R61"")"),439400)</f>
        <v>439400</v>
      </c>
      <c r="O45" s="38">
        <f ca="1">IF(L45&gt;0,N45*100/L45,0)</f>
        <v>47.344036202995369</v>
      </c>
      <c r="P45" s="38">
        <f ca="1">IF(M45&gt;0,N45*100/M45,0)</f>
        <v>94.677871148459388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IFERROR(__xludf.DUMMYFUNCTION("IMPORTRANGE(""https://docs.google.com/spreadsheets/d/1Yj_ptqi66GCucihVvJfMjLAmec39IyEx_6qawtMGysU/edit?usp=sharing"",""สบก!O61"")"),1134000)</f>
        <v>1134000</v>
      </c>
      <c r="M49" s="49">
        <f ca="1">L49</f>
        <v>1134000</v>
      </c>
      <c r="N49" s="49">
        <f ca="1">IFERROR(__xludf.DUMMYFUNCTION("IMPORTRANGE(""https://docs.google.com/spreadsheets/d/1Yj_ptqi66GCucihVvJfMjLAmec39IyEx_6qawtMGysU/edit?usp=sharing"",""สบก!S61"")"),96000)</f>
        <v>96000</v>
      </c>
      <c r="O49" s="49">
        <f ca="1">IF(L49&gt;0,N49*100/L49,0)</f>
        <v>8.4656084656084651</v>
      </c>
      <c r="P49" s="49">
        <f ca="1">IF(M49&gt;0,N49*100/M49,0)</f>
        <v>8.4656084656084651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289900</v>
      </c>
      <c r="N53" s="121">
        <f t="shared" ca="1" si="39"/>
        <v>275389</v>
      </c>
      <c r="O53" s="120">
        <f t="shared" ref="O53:O55" ca="1" si="40">IF(L53&gt;0,N53*100/L53,0)</f>
        <v>51.960188679245285</v>
      </c>
      <c r="P53" s="120">
        <f t="shared" ref="P53:P55" ca="1" si="41">IF(M53&gt;0,N53*100/M53,0)</f>
        <v>94.994480855467401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289900</v>
      </c>
      <c r="N55" s="121">
        <f t="shared" ca="1" si="43"/>
        <v>275389</v>
      </c>
      <c r="O55" s="120">
        <f t="shared" ca="1" si="40"/>
        <v>51.960188679245285</v>
      </c>
      <c r="P55" s="120">
        <f t="shared" ca="1" si="41"/>
        <v>94.994480855467401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IFERROR(__xludf.DUMMYFUNCTION("IMPORTRANGE(""https://docs.google.com/spreadsheets/d/1Yj_ptqi66GCucihVvJfMjLAmec39IyEx_6qawtMGysU/edit?usp=sharing"",""สบก!Z61"")"),289900)</f>
        <v>289900</v>
      </c>
      <c r="N57" s="49">
        <f ca="1">IFERROR(__xludf.DUMMYFUNCTION("IMPORTRANGE(""https://docs.google.com/spreadsheets/d/1Yj_ptqi66GCucihVvJfMjLAmec39IyEx_6qawtMGysU/edit?usp=sharing"",""สบก!AA61"")"),275389)</f>
        <v>275389</v>
      </c>
      <c r="O57" s="38">
        <f ca="1">IF(L57&gt;0,N57*100/L57,0)</f>
        <v>51.960188679245285</v>
      </c>
      <c r="P57" s="38">
        <f ca="1">IF(M57&gt;0,N57*100/M57,0)</f>
        <v>94.994480855467401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IFERROR(__xludf.DUMMYFUNCTION("IMPORTRANGE(""https://docs.google.com/spreadsheets/d/1Yj_ptqi66GCucihVvJfMjLAmec39IyEx_6qawtMGysU/edit?usp=sharing"",""สบก!AI61"")"),0)</f>
        <v>0</v>
      </c>
      <c r="N70" s="170">
        <f ca="1">IFERROR(__xludf.DUMMYFUNCTION("IMPORTRANGE(""https://docs.google.com/spreadsheets/d/1Yj_ptqi66GCucihVvJfMjLAmec39IyEx_6qawtMGysU/edit?usp=sharing"",""สบก!AJ61"")"),0)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IFERROR(__xludf.DUMMYFUNCTION("IMPORTRANGE(""https://docs.google.com/spreadsheets/d/1Yj_ptqi66GCucihVvJfMjLAmec39IyEx_6qawtMGysU/edit?usp=sharing"",""สบก!AE61"")"),0)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IFERROR(__xludf.DUMMYFUNCTION("IMPORTRANGE(""https://docs.google.com/spreadsheets/d/1Yj_ptqi66GCucihVvJfMjLAmec39IyEx_6qawtMGysU/edit?usp=sharing"",""สบก!AF61"")"),0)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IFERROR(__xludf.DUMMYFUNCTION("IMPORTRANGE(""https://docs.google.com/spreadsheets/d/1SX6NBoVAgQJ6U1MVXOaj8PK2l7WJ3RER9xtqwdhxkhw/edit?usp=sharing"",""ฉะเชิงเทรา!J16"")"),0)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IFERROR(__xludf.DUMMYFUNCTION("IMPORTRANGE(""https://docs.google.com/spreadsheets/d/1SX6NBoVAgQJ6U1MVXOaj8PK2l7WJ3RER9xtqwdhxkhw/edit?usp=sharing"",""ฉะเชิงเทรา!J17"")"),0)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IFERROR(__xludf.DUMMYFUNCTION("IMPORTRANGE(""https://docs.google.com/spreadsheets/d/1SX6NBoVAgQJ6U1MVXOaj8PK2l7WJ3RER9xtqwdhxkhw/edit?usp=sharing"",""ฉะเชิงเทรา!J18"")"),0)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IFERROR(__xludf.DUMMYFUNCTION("IMPORTRANGE(""https://docs.google.com/spreadsheets/d/1SX6NBoVAgQJ6U1MVXOaj8PK2l7WJ3RER9xtqwdhxkhw/edit?usp=sharing"",""ฉะเชิงเทรา!J19"")"),0)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IFERROR(__xludf.DUMMYFUNCTION("IMPORTRANGE(""https://docs.google.com/spreadsheets/d/1SX6NBoVAgQJ6U1MVXOaj8PK2l7WJ3RER9xtqwdhxkhw/edit?usp=sharing"",""ฉะเชิงเทรา!I20"")"),0)</f>
        <v>0</v>
      </c>
      <c r="J80" s="202">
        <f ca="1">IFERROR(__xludf.DUMMYFUNCTION("IMPORTRANGE(""https://docs.google.com/spreadsheets/d/1SX6NBoVAgQJ6U1MVXOaj8PK2l7WJ3RER9xtqwdhxkhw/edit?usp=sharing"",""ฉะเชิงเทรา!J20"")"),0)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IFERROR(__xludf.DUMMYFUNCTION("IMPORTRANGE(""https://docs.google.com/spreadsheets/d/1SX6NBoVAgQJ6U1MVXOaj8PK2l7WJ3RER9xtqwdhxkhw/edit?usp=sharing"",""ฉะเชิงเทรา!I21"")"),0)</f>
        <v>0</v>
      </c>
      <c r="J81" s="202">
        <f ca="1">IFERROR(__xludf.DUMMYFUNCTION("IMPORTRANGE(""https://docs.google.com/spreadsheets/d/1SX6NBoVAgQJ6U1MVXOaj8PK2l7WJ3RER9xtqwdhxkhw/edit?usp=sharing"",""ฉะเชิงเทรา!J21"")"),0)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IFERROR(__xludf.DUMMYFUNCTION("IMPORTRANGE(""https://docs.google.com/spreadsheets/d/1SX6NBoVAgQJ6U1MVXOaj8PK2l7WJ3RER9xtqwdhxkhw/edit?usp=sharing"",""ฉะเชิงเทรา!I22"")"),0)</f>
        <v>0</v>
      </c>
      <c r="J82" s="205">
        <f ca="1">IFERROR(__xludf.DUMMYFUNCTION("IMPORTRANGE(""https://docs.google.com/spreadsheets/d/1SX6NBoVAgQJ6U1MVXOaj8PK2l7WJ3RER9xtqwdhxkhw/edit?usp=sharing"",""ฉะเชิงเทรา!J22"")"),0)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IFERROR(__xludf.DUMMYFUNCTION("IMPORTRANGE(""https://docs.google.com/spreadsheets/d/1SX6NBoVAgQJ6U1MVXOaj8PK2l7WJ3RER9xtqwdhxkhw/edit?usp=sharing"",""ฉะเชิงเทรา!I23"")"),0)</f>
        <v>0</v>
      </c>
      <c r="J83" s="205">
        <f ca="1">IFERROR(__xludf.DUMMYFUNCTION("IMPORTRANGE(""https://docs.google.com/spreadsheets/d/1SX6NBoVAgQJ6U1MVXOaj8PK2l7WJ3RER9xtqwdhxkhw/edit?usp=sharing"",""ฉะเชิงเทรา!J23"")"),0)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IFERROR(__xludf.DUMMYFUNCTION("IMPORTRANGE(""https://docs.google.com/spreadsheets/d/1SX6NBoVAgQJ6U1MVXOaj8PK2l7WJ3RER9xtqwdhxkhw/edit?usp=sharing"",""ฉะเชิงเทรา!I24"")"),0)</f>
        <v>0</v>
      </c>
      <c r="J84" s="190">
        <f ca="1">IFERROR(__xludf.DUMMYFUNCTION("IMPORTRANGE(""https://docs.google.com/spreadsheets/d/1SX6NBoVAgQJ6U1MVXOaj8PK2l7WJ3RER9xtqwdhxkhw/edit?usp=sharing"",""ฉะเชิงเทรา!J24"")"),0)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IFERROR(__xludf.DUMMYFUNCTION("IMPORTRANGE(""https://docs.google.com/spreadsheets/d/1SX6NBoVAgQJ6U1MVXOaj8PK2l7WJ3RER9xtqwdhxkhw/edit?usp=sharing"",""ฉะเชิงเทรา!I25"")"),0)</f>
        <v>0</v>
      </c>
      <c r="J85" s="190">
        <f ca="1">IFERROR(__xludf.DUMMYFUNCTION("IMPORTRANGE(""https://docs.google.com/spreadsheets/d/1SX6NBoVAgQJ6U1MVXOaj8PK2l7WJ3RER9xtqwdhxkhw/edit?usp=sharing"",""ฉะเชิงเทรา!J25"")"),0)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IFERROR(__xludf.DUMMYFUNCTION("IMPORTRANGE(""https://docs.google.com/spreadsheets/d/1SX6NBoVAgQJ6U1MVXOaj8PK2l7WJ3RER9xtqwdhxkhw/edit?usp=sharing"",""ฉะเชิงเทรา!I26"")"),0)</f>
        <v>0</v>
      </c>
      <c r="J86" s="205">
        <f ca="1">IFERROR(__xludf.DUMMYFUNCTION("IMPORTRANGE(""https://docs.google.com/spreadsheets/d/1SX6NBoVAgQJ6U1MVXOaj8PK2l7WJ3RER9xtqwdhxkhw/edit?usp=sharing"",""ฉะเชิงเทรา!J26"")"),0)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IFERROR(__xludf.DUMMYFUNCTION("IMPORTRANGE(""https://docs.google.com/spreadsheets/d/1SX6NBoVAgQJ6U1MVXOaj8PK2l7WJ3RER9xtqwdhxkhw/edit?usp=sharing"",""ฉะเชิงเทรา!I27"")"),0)</f>
        <v>0</v>
      </c>
      <c r="J87" s="205">
        <f ca="1">IFERROR(__xludf.DUMMYFUNCTION("IMPORTRANGE(""https://docs.google.com/spreadsheets/d/1SX6NBoVAgQJ6U1MVXOaj8PK2l7WJ3RER9xtqwdhxkhw/edit?usp=sharing"",""ฉะเชิงเทรา!J27"")"),0)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IFERROR(__xludf.DUMMYFUNCTION("IMPORTRANGE(""https://docs.google.com/spreadsheets/d/1SX6NBoVAgQJ6U1MVXOaj8PK2l7WJ3RER9xtqwdhxkhw/edit?usp=sharing"",""ฉะเชิงเทรา!I28"")"),0)</f>
        <v>0</v>
      </c>
      <c r="J88" s="205">
        <f ca="1">IFERROR(__xludf.DUMMYFUNCTION("IMPORTRANGE(""https://docs.google.com/spreadsheets/d/1SX6NBoVAgQJ6U1MVXOaj8PK2l7WJ3RER9xtqwdhxkhw/edit?usp=sharing"",""ฉะเชิงเทรา!J28"")"),0)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IFERROR(__xludf.DUMMYFUNCTION("IMPORTRANGE(""https://docs.google.com/spreadsheets/d/1SX6NBoVAgQJ6U1MVXOaj8PK2l7WJ3RER9xtqwdhxkhw/edit?usp=sharing"",""ฉะเชิงเทรา!J29"")"),0)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125970</v>
      </c>
      <c r="O94" s="151">
        <f t="shared" ref="O94:O96" ca="1" si="53">IF(L94&gt;0,N94*100/L94,0)</f>
        <v>58.727272727272727</v>
      </c>
      <c r="P94" s="151">
        <f t="shared" ref="P94:P96" ca="1" si="54">IF(M94&gt;0,N94*100/M94,0)</f>
        <v>78.17911003537516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125970</v>
      </c>
      <c r="O96" s="156">
        <f t="shared" ca="1" si="53"/>
        <v>58.727272727272727</v>
      </c>
      <c r="P96" s="156">
        <f t="shared" ca="1" si="54"/>
        <v>78.17911003537516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IFERROR(__xludf.DUMMYFUNCTION("IMPORTRANGE(""https://docs.google.com/spreadsheets/d/1Yj_ptqi66GCucihVvJfMjLAmec39IyEx_6qawtMGysU/edit?usp=sharing"",""สบก!AR61"")"),68730)</f>
        <v>68730</v>
      </c>
      <c r="N98" s="170">
        <f ca="1">IFERROR(__xludf.DUMMYFUNCTION("IMPORTRANGE(""https://docs.google.com/spreadsheets/d/1Yj_ptqi66GCucihVvJfMjLAmec39IyEx_6qawtMGysU/edit?usp=sharing"",""สบก!AS61"")"),33570)</f>
        <v>33570</v>
      </c>
      <c r="O98" s="170">
        <f ca="1">IF(L98&gt;0,N98*100/L98,0)</f>
        <v>27.493857493857494</v>
      </c>
      <c r="P98" s="170">
        <f ca="1">IF(M98&gt;0,N98*100/M98,0)</f>
        <v>48.843299869052814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IFERROR(__xludf.DUMMYFUNCTION("IMPORTRANGE(""https://docs.google.com/spreadsheets/d/1Yj_ptqi66GCucihVvJfMjLAmec39IyEx_6qawtMGysU/edit?usp=sharing"",""สบก!AN61"")"),0)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IFERROR(__xludf.DUMMYFUNCTION("IMPORTRANGE(""https://docs.google.com/spreadsheets/d/1Yj_ptqi66GCucihVvJfMjLAmec39IyEx_6qawtMGysU/edit?usp=sharing"",""สบก!AO61"")"),122100)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IFERROR(__xludf.DUMMYFUNCTION("IMPORTRANGE(""https://docs.google.com/spreadsheets/d/1SX6NBoVAgQJ6U1MVXOaj8PK2l7WJ3RER9xtqwdhxkhw/edit?usp=sharing"",""ฉะเชิงเทรา!J40"")"),1)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IFERROR(__xludf.DUMMYFUNCTION("IMPORTRANGE(""https://docs.google.com/spreadsheets/d/1SX6NBoVAgQJ6U1MVXOaj8PK2l7WJ3RER9xtqwdhxkhw/edit?usp=sharing"",""ฉะเชิงเทรา!J41"")"),1)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IFERROR(__xludf.DUMMYFUNCTION("IMPORTRANGE(""https://docs.google.com/spreadsheets/d/1SX6NBoVAgQJ6U1MVXOaj8PK2l7WJ3RER9xtqwdhxkhw/edit?usp=sharing"",""ฉะเชิงเทรา!J42"")"),1)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IFERROR(__xludf.DUMMYFUNCTION("IMPORTRANGE(""https://docs.google.com/spreadsheets/d/1SX6NBoVAgQJ6U1MVXOaj8PK2l7WJ3RER9xtqwdhxkhw/edit?usp=sharing"",""ฉะเชิงเทรา!I43"")"),1)</f>
        <v>1</v>
      </c>
      <c r="J108" s="205">
        <f ca="1">IFERROR(__xludf.DUMMYFUNCTION("IMPORTRANGE(""https://docs.google.com/spreadsheets/d/1SX6NBoVAgQJ6U1MVXOaj8PK2l7WJ3RER9xtqwdhxkhw/edit?usp=sharing"",""ฉะเชิงเทรา!J43"")"),1)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IFERROR(__xludf.DUMMYFUNCTION("IMPORTRANGE(""https://docs.google.com/spreadsheets/d/1SX6NBoVAgQJ6U1MVXOaj8PK2l7WJ3RER9xtqwdhxkhw/edit?usp=sharing"",""ฉะเชิงเทรา!I44"")"),4)</f>
        <v>4</v>
      </c>
      <c r="J109" s="205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IFERROR(__xludf.DUMMYFUNCTION("IMPORTRANGE(""https://docs.google.com/spreadsheets/d/1SX6NBoVAgQJ6U1MVXOaj8PK2l7WJ3RER9xtqwdhxkhw/edit?usp=sharing"",""ฉะเชิงเทรา!I45"")"),4)</f>
        <v>4</v>
      </c>
      <c r="J110" s="205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IFERROR(__xludf.DUMMYFUNCTION("IMPORTRANGE(""https://docs.google.com/spreadsheets/d/1SX6NBoVAgQJ6U1MVXOaj8PK2l7WJ3RER9xtqwdhxkhw/edit?usp=sharing"",""ฉะเชิงเทรา!I46"")"),4)</f>
        <v>4</v>
      </c>
      <c r="J111" s="205">
        <f ca="1">IFERROR(__xludf.DUMMYFUNCTION("IMPORTRANGE(""https://docs.google.com/spreadsheets/d/1SX6NBoVAgQJ6U1MVXOaj8PK2l7WJ3RER9xtqwdhxkhw/edit?usp=sharing"",""ฉะเชิงเทรา!J46"")"),4)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IFERROR(__xludf.DUMMYFUNCTION("IMPORTRANGE(""https://docs.google.com/spreadsheets/d/1SX6NBoVAgQJ6U1MVXOaj8PK2l7WJ3RER9xtqwdhxkhw/edit?usp=sharing"",""ฉะเชิงเทรา!I47"")"),4)</f>
        <v>4</v>
      </c>
      <c r="J112" s="205">
        <f ca="1">IFERROR(__xludf.DUMMYFUNCTION("IMPORTRANGE(""https://docs.google.com/spreadsheets/d/1SX6NBoVAgQJ6U1MVXOaj8PK2l7WJ3RER9xtqwdhxkhw/edit?usp=sharing"",""ฉะเชิงเทรา!J47"")"),0)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IFERROR(__xludf.DUMMYFUNCTION("IMPORTRANGE(""https://docs.google.com/spreadsheets/d/1SX6NBoVAgQJ6U1MVXOaj8PK2l7WJ3RER9xtqwdhxkhw/edit?usp=sharing"",""ฉะเชิงเทรา!I48"")"),1)</f>
        <v>1</v>
      </c>
      <c r="J113" s="205">
        <f ca="1">IFERROR(__xludf.DUMMYFUNCTION("IMPORTRANGE(""https://docs.google.com/spreadsheets/d/1SX6NBoVAgQJ6U1MVXOaj8PK2l7WJ3RER9xtqwdhxkhw/edit?usp=sharing"",""ฉะเชิงเทรา!J48"")"),0)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IFERROR(__xludf.DUMMYFUNCTION("IMPORTRANGE(""https://docs.google.com/spreadsheets/d/1SX6NBoVAgQJ6U1MVXOaj8PK2l7WJ3RER9xtqwdhxkhw/edit?usp=sharing"",""ฉะเชิงเทรา!J49"")"),0)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IFERROR(__xludf.DUMMYFUNCTION("IMPORTRANGE(""https://docs.google.com/spreadsheets/d/1SX6NBoVAgQJ6U1MVXOaj8PK2l7WJ3RER9xtqwdhxkhw/edit?usp=sharing"",""ฉะเชิงเทรา!J50"")"),0)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62840</v>
      </c>
      <c r="O118" s="151">
        <f t="shared" ref="O118:O120" ca="1" si="59">IF(L118&gt;0,N118*100/L118,0)</f>
        <v>76.225133430373603</v>
      </c>
      <c r="P118" s="151">
        <f t="shared" ref="P118:P120" ca="1" si="60">IF(M118&gt;0,N118*100/M118,0)</f>
        <v>94.581577363034313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62840</v>
      </c>
      <c r="O120" s="156">
        <f t="shared" ca="1" si="59"/>
        <v>76.225133430373603</v>
      </c>
      <c r="P120" s="156">
        <f t="shared" ca="1" si="60"/>
        <v>94.581577363034313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IFERROR(__xludf.DUMMYFUNCTION("IMPORTRANGE(""https://docs.google.com/spreadsheets/d/1Yj_ptqi66GCucihVvJfMjLAmec39IyEx_6qawtMGysU/edit?usp=sharing"",""สบก!BA61"")"),66440)</f>
        <v>66440</v>
      </c>
      <c r="N122" s="170">
        <f ca="1">IFERROR(__xludf.DUMMYFUNCTION("IMPORTRANGE(""https://docs.google.com/spreadsheets/d/1Yj_ptqi66GCucihVvJfMjLAmec39IyEx_6qawtMGysU/edit?usp=sharing"",""สบก!BB61"")"),62840)</f>
        <v>62840</v>
      </c>
      <c r="O122" s="170">
        <f ca="1">IF(L122&gt;0,N122*100/L122,0)</f>
        <v>76.225133430373603</v>
      </c>
      <c r="P122" s="170">
        <f ca="1">IF(M122&gt;0,N122*100/M122,0)</f>
        <v>94.581577363034313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IFERROR(__xludf.DUMMYFUNCTION("IMPORTRANGE(""https://docs.google.com/spreadsheets/d/1Yj_ptqi66GCucihVvJfMjLAmec39IyEx_6qawtMGysU/edit?usp=sharing"",""สบก!AW61"")"),0)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IFERROR(__xludf.DUMMYFUNCTION("IMPORTRANGE(""https://docs.google.com/spreadsheets/d/1Yj_ptqi66GCucihVvJfMjLAmec39IyEx_6qawtMGysU/edit?usp=sharing"",""สบก!AX61"")"),82440)</f>
        <v>82440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243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IFERROR(__xludf.DUMMYFUNCTION("IMPORTRANGE(""https://docs.google.com/spreadsheets/d/1SX6NBoVAgQJ6U1MVXOaj8PK2l7WJ3RER9xtqwdhxkhw/edit?usp=sharing"",""ฉะเชิงเทรา!J59"")"),1)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IFERROR(__xludf.DUMMYFUNCTION("IMPORTRANGE(""https://docs.google.com/spreadsheets/d/1SX6NBoVAgQJ6U1MVXOaj8PK2l7WJ3RER9xtqwdhxkhw/edit?usp=sharing"",""ฉะเชิงเทรา!J60"")"),1)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IFERROR(__xludf.DUMMYFUNCTION("IMPORTRANGE(""https://docs.google.com/spreadsheets/d/1SX6NBoVAgQJ6U1MVXOaj8PK2l7WJ3RER9xtqwdhxkhw/edit?usp=sharing"",""ฉะเชิงเทรา!J61"")"),1)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IFERROR(__xludf.DUMMYFUNCTION("IMPORTRANGE(""https://docs.google.com/spreadsheets/d/1SX6NBoVAgQJ6U1MVXOaj8PK2l7WJ3RER9xtqwdhxkhw/edit?usp=sharing"",""ฉะเชิงเทรา!I62"")"),20)</f>
        <v>20</v>
      </c>
      <c r="J132" s="205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IFERROR(__xludf.DUMMYFUNCTION("IMPORTRANGE(""https://docs.google.com/spreadsheets/d/1SX6NBoVAgQJ6U1MVXOaj8PK2l7WJ3RER9xtqwdhxkhw/edit?usp=sharing"",""ฉะเชิงเทรา!I63"")"),20)</f>
        <v>20</v>
      </c>
      <c r="J133" s="205">
        <f ca="1">IFERROR(__xludf.DUMMYFUNCTION("IMPORTRANGE(""https://docs.google.com/spreadsheets/d/1SX6NBoVAgQJ6U1MVXOaj8PK2l7WJ3RER9xtqwdhxkhw/edit?usp=sharing"",""ฉะเชิงเทรา!J63"")"),18)</f>
        <v>18</v>
      </c>
      <c r="K133" s="225">
        <f t="shared" ca="1" si="63"/>
        <v>90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IFERROR(__xludf.DUMMYFUNCTION("IMPORTRANGE(""https://docs.google.com/spreadsheets/d/1SX6NBoVAgQJ6U1MVXOaj8PK2l7WJ3RER9xtqwdhxkhw/edit?usp=sharing"",""ฉะเชิงเทรา!J64"")"),1)</f>
        <v>1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842400</v>
      </c>
      <c r="M140" s="152">
        <f t="shared" ca="1" si="64"/>
        <v>457350</v>
      </c>
      <c r="N140" s="152">
        <f t="shared" ca="1" si="64"/>
        <v>384339</v>
      </c>
      <c r="O140" s="151">
        <f t="shared" ref="O140:O142" ca="1" si="65">IF(L140&gt;0,N140*100/L140,0)</f>
        <v>45.624287749287753</v>
      </c>
      <c r="P140" s="151">
        <f t="shared" ref="P140:P142" ca="1" si="66">IF(M140&gt;0,N140*100/M140,0)</f>
        <v>84.036077402427026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842400</v>
      </c>
      <c r="M142" s="157">
        <f t="shared" ca="1" si="68"/>
        <v>457350</v>
      </c>
      <c r="N142" s="157">
        <f t="shared" ca="1" si="68"/>
        <v>384339</v>
      </c>
      <c r="O142" s="156">
        <f t="shared" ca="1" si="65"/>
        <v>45.624287749287753</v>
      </c>
      <c r="P142" s="156">
        <f t="shared" ca="1" si="66"/>
        <v>84.036077402427026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842400</v>
      </c>
      <c r="M144" s="169">
        <f ca="1">IFERROR(__xludf.DUMMYFUNCTION("IMPORTRANGE(""https://docs.google.com/spreadsheets/d/1Yj_ptqi66GCucihVvJfMjLAmec39IyEx_6qawtMGysU/edit?usp=sharing"",""สบก!BJ61"")"),457350)</f>
        <v>457350</v>
      </c>
      <c r="N144" s="170">
        <f ca="1">IFERROR(__xludf.DUMMYFUNCTION("IMPORTRANGE(""https://docs.google.com/spreadsheets/d/1Yj_ptqi66GCucihVvJfMjLAmec39IyEx_6qawtMGysU/edit?usp=sharing"",""สบก!BK61"")"),384339)</f>
        <v>384339</v>
      </c>
      <c r="O144" s="170">
        <f ca="1">IF(L144&gt;0,N144*100/L144,0)</f>
        <v>45.624287749287753</v>
      </c>
      <c r="P144" s="170">
        <f ca="1">IF(M144&gt;0,N144*100/M144,0)</f>
        <v>84.036077402427026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IFERROR(__xludf.DUMMYFUNCTION("IMPORTRANGE(""https://docs.google.com/spreadsheets/d/1Yj_ptqi66GCucihVvJfMjLAmec39IyEx_6qawtMGysU/edit?usp=sharing"",""สบก!BF61"")"),311500)</f>
        <v>311500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IFERROR(__xludf.DUMMYFUNCTION("IMPORTRANGE(""https://docs.google.com/spreadsheets/d/1Yj_ptqi66GCucihVvJfMjLAmec39IyEx_6qawtMGysU/edit?usp=sharing"",""สบก!BG61"")"),530900)</f>
        <v>530900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IFERROR(__xludf.DUMMYFUNCTION("IMPORTRANGE(""https://docs.google.com/spreadsheets/d/1SX6NBoVAgQJ6U1MVXOaj8PK2l7WJ3RER9xtqwdhxkhw/edit?usp=sharing"",""ฉะเชิงเทรา!J79"")"),0)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IFERROR(__xludf.DUMMYFUNCTION("IMPORTRANGE(""https://docs.google.com/spreadsheets/d/1SX6NBoVAgQJ6U1MVXOaj8PK2l7WJ3RER9xtqwdhxkhw/edit?usp=sharing"",""ฉะเชิงเทรา!J80"")"),1)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IFERROR(__xludf.DUMMYFUNCTION("IMPORTRANGE(""https://docs.google.com/spreadsheets/d/1SX6NBoVAgQJ6U1MVXOaj8PK2l7WJ3RER9xtqwdhxkhw/edit?usp=sharing"",""ฉะเชิงเทรา!J81"")"),1)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IFERROR(__xludf.DUMMYFUNCTION("IMPORTRANGE(""https://docs.google.com/spreadsheets/d/1SX6NBoVAgQJ6U1MVXOaj8PK2l7WJ3RER9xtqwdhxkhw/edit?usp=sharing"",""ฉะเชิงเทรา!J82"")"),1)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IFERROR(__xludf.DUMMYFUNCTION("IMPORTRANGE(""https://docs.google.com/spreadsheets/d/1SX6NBoVAgQJ6U1MVXOaj8PK2l7WJ3RER9xtqwdhxkhw/edit?usp=sharing"",""ฉะเชิงเทรา!I83"")"),4)</f>
        <v>4</v>
      </c>
      <c r="J158" s="190">
        <f ca="1">IFERROR(__xludf.DUMMYFUNCTION("IMPORTRANGE(""https://docs.google.com/spreadsheets/d/1SX6NBoVAgQJ6U1MVXOaj8PK2l7WJ3RER9xtqwdhxkhw/edit?usp=sharing"",""ฉะเชิงเทรา!J83"")"),1)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IFERROR(__xludf.DUMMYFUNCTION("IMPORTRANGE(""https://docs.google.com/spreadsheets/d/1SX6NBoVAgQJ6U1MVXOaj8PK2l7WJ3RER9xtqwdhxkhw/edit?usp=sharing"",""ฉะเชิงเทรา!J84"")"),51)</f>
        <v>51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IFERROR(__xludf.DUMMYFUNCTION("IMPORTRANGE(""https://docs.google.com/spreadsheets/d/1SX6NBoVAgQJ6U1MVXOaj8PK2l7WJ3RER9xtqwdhxkhw/edit?usp=sharing"",""ฉะเชิงเทรา!J85"")"),51)</f>
        <v>51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IFERROR(__xludf.DUMMYFUNCTION("IMPORTRANGE(""https://docs.google.com/spreadsheets/d/1SX6NBoVAgQJ6U1MVXOaj8PK2l7WJ3RER9xtqwdhxkhw/edit?usp=sharing"",""ฉะเชิงเทรา!J86"")"),0)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IFERROR(__xludf.DUMMYFUNCTION("IMPORTRANGE(""https://docs.google.com/spreadsheets/d/1SX6NBoVAgQJ6U1MVXOaj8PK2l7WJ3RER9xtqwdhxkhw/edit?usp=sharing"",""ฉะเชิงเทรา!J87"")"),0)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IFERROR(__xludf.DUMMYFUNCTION("IMPORTRANGE(""https://docs.google.com/spreadsheets/d/1SX6NBoVAgQJ6U1MVXOaj8PK2l7WJ3RER9xtqwdhxkhw/edit?usp=sharing"",""ฉะเชิงเทรา!J88"")"),0)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IFERROR(__xludf.DUMMYFUNCTION("IMPORTRANGE(""https://docs.google.com/spreadsheets/d/1SX6NBoVAgQJ6U1MVXOaj8PK2l7WJ3RER9xtqwdhxkhw/edit?usp=sharing"",""ฉะเชิงเทรา!I89"")"),4)</f>
        <v>4</v>
      </c>
      <c r="J164" s="284">
        <f ca="1">IFERROR(__xludf.DUMMYFUNCTION("IMPORTRANGE(""https://docs.google.com/spreadsheets/d/1SX6NBoVAgQJ6U1MVXOaj8PK2l7WJ3RER9xtqwdhxkhw/edit?usp=sharing"",""ฉะเชิงเทรา!J89"")"),4)</f>
        <v>4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IFERROR(__xludf.DUMMYFUNCTION("IMPORTRANGE(""https://docs.google.com/spreadsheets/d/1SX6NBoVAgQJ6U1MVXOaj8PK2l7WJ3RER9xtqwdhxkhw/edit?usp=sharing"",""ฉะเชิงเทรา!J94"")"),0)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IFERROR(__xludf.DUMMYFUNCTION("IMPORTRANGE(""https://docs.google.com/spreadsheets/d/1SX6NBoVAgQJ6U1MVXOaj8PK2l7WJ3RER9xtqwdhxkhw/edit?usp=sharing"",""ฉะเชิงเทรา!J95"")"),1)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IFERROR(__xludf.DUMMYFUNCTION("IMPORTRANGE(""https://docs.google.com/spreadsheets/d/1SX6NBoVAgQJ6U1MVXOaj8PK2l7WJ3RER9xtqwdhxkhw/edit?usp=sharing"",""ฉะเชิงเทรา!J96"")"),1)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IFERROR(__xludf.DUMMYFUNCTION("IMPORTRANGE(""https://docs.google.com/spreadsheets/d/1SX6NBoVAgQJ6U1MVXOaj8PK2l7WJ3RER9xtqwdhxkhw/edit?usp=sharing"",""ฉะเชิงเทรา!J97"")"),1)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IFERROR(__xludf.DUMMYFUNCTION("IMPORTRANGE(""https://docs.google.com/spreadsheets/d/1SX6NBoVAgQJ6U1MVXOaj8PK2l7WJ3RER9xtqwdhxkhw/edit?usp=sharing"",""ฉะเชิงเทรา!I98"")"),4)</f>
        <v>4</v>
      </c>
      <c r="J173" s="190">
        <f ca="1">IFERROR(__xludf.DUMMYFUNCTION("IMPORTRANGE(""https://docs.google.com/spreadsheets/d/1SX6NBoVAgQJ6U1MVXOaj8PK2l7WJ3RER9xtqwdhxkhw/edit?usp=sharing"",""ฉะเชิงเทรา!J98"")"),4)</f>
        <v>4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IFERROR(__xludf.DUMMYFUNCTION("IMPORTRANGE(""https://docs.google.com/spreadsheets/d/1SX6NBoVAgQJ6U1MVXOaj8PK2l7WJ3RER9xtqwdhxkhw/edit?usp=sharing"",""ฉะเชิงเทรา!J99"")"),1)</f>
        <v>1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IFERROR(__xludf.DUMMYFUNCTION("IMPORTRANGE(""https://docs.google.com/spreadsheets/d/1SX6NBoVAgQJ6U1MVXOaj8PK2l7WJ3RER9xtqwdhxkhw/edit?usp=sharing"",""ฉะเชิงเทรา!J100"")"),1)</f>
        <v>1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IFERROR(__xludf.DUMMYFUNCTION("IMPORTRANGE(""https://docs.google.com/spreadsheets/d/1SX6NBoVAgQJ6U1MVXOaj8PK2l7WJ3RER9xtqwdhxkhw/edit?usp=sharing"",""ฉะเชิงเทรา!I101"")"),3)</f>
        <v>3</v>
      </c>
      <c r="J176" s="284">
        <f ca="1">IFERROR(__xludf.DUMMYFUNCTION("IMPORTRANGE(""https://docs.google.com/spreadsheets/d/1SX6NBoVAgQJ6U1MVXOaj8PK2l7WJ3RER9xtqwdhxkhw/edit?usp=sharing"",""ฉะเชิงเทรา!J101"")"),3)</f>
        <v>3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IFERROR(__xludf.DUMMYFUNCTION("IMPORTRANGE(""https://docs.google.com/spreadsheets/d/1SX6NBoVAgQJ6U1MVXOaj8PK2l7WJ3RER9xtqwdhxkhw/edit?usp=sharing"",""ฉะเชิงเทรา!J107"")"),1)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IFERROR(__xludf.DUMMYFUNCTION("IMPORTRANGE(""https://docs.google.com/spreadsheets/d/1SX6NBoVAgQJ6U1MVXOaj8PK2l7WJ3RER9xtqwdhxkhw/edit?usp=sharing"",""ฉะเชิงเทรา!J108"")"),1)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IFERROR(__xludf.DUMMYFUNCTION("IMPORTRANGE(""https://docs.google.com/spreadsheets/d/1SX6NBoVAgQJ6U1MVXOaj8PK2l7WJ3RER9xtqwdhxkhw/edit?usp=sharing"",""ฉะเชิงเทรา!J109"")"),1)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IFERROR(__xludf.DUMMYFUNCTION("IMPORTRANGE(""https://docs.google.com/spreadsheets/d/1SX6NBoVAgQJ6U1MVXOaj8PK2l7WJ3RER9xtqwdhxkhw/edit?usp=sharing"",""ฉะเชิงเทรา!I110"")"),3)</f>
        <v>3</v>
      </c>
      <c r="J185" s="205">
        <f ca="1">IFERROR(__xludf.DUMMYFUNCTION("IMPORTRANGE(""https://docs.google.com/spreadsheets/d/1SX6NBoVAgQJ6U1MVXOaj8PK2l7WJ3RER9xtqwdhxkhw/edit?usp=sharing"",""ฉะเชิงเทรา!J110"")"),0)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IFERROR(__xludf.DUMMYFUNCTION("IMPORTRANGE(""https://docs.google.com/spreadsheets/d/1SX6NBoVAgQJ6U1MVXOaj8PK2l7WJ3RER9xtqwdhxkhw/edit?usp=sharing"",""ฉะเชิงเทรา!I111"")"),3)</f>
        <v>3</v>
      </c>
      <c r="J186" s="205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IFERROR(__xludf.DUMMYFUNCTION("IMPORTRANGE(""https://docs.google.com/spreadsheets/d/1SX6NBoVAgQJ6U1MVXOaj8PK2l7WJ3RER9xtqwdhxkhw/edit?usp=sharing"",""ฉะเชิงเทรา!J112"")"),0)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IFERROR(__xludf.DUMMYFUNCTION("IMPORTRANGE(""https://docs.google.com/spreadsheets/d/1SX6NBoVAgQJ6U1MVXOaj8PK2l7WJ3RER9xtqwdhxkhw/edit?usp=sharing"",""ฉะเชิงเทรา!J113"")"),0)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IFERROR(__xludf.DUMMYFUNCTION("IMPORTRANGE(""https://docs.google.com/spreadsheets/d/1SX6NBoVAgQJ6U1MVXOaj8PK2l7WJ3RER9xtqwdhxkhw/edit?usp=sharing"",""ฉะเชิงเทรา!I114"")"),40000)</f>
        <v>40000</v>
      </c>
      <c r="J189" s="284">
        <f ca="1">IFERROR(__xludf.DUMMYFUNCTION("IMPORTRANGE(""https://docs.google.com/spreadsheets/d/1SX6NBoVAgQJ6U1MVXOaj8PK2l7WJ3RER9xtqwdhxkhw/edit?usp=sharing"",""ฉะเชิงเทรา!J114"")"),0)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IFERROR(__xludf.DUMMYFUNCTION("IMPORTRANGE(""https://docs.google.com/spreadsheets/d/1SX6NBoVAgQJ6U1MVXOaj8PK2l7WJ3RER9xtqwdhxkhw/edit?usp=sharing"",""ฉะเชิงเทรา!J119"")"),0)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IFERROR(__xludf.DUMMYFUNCTION("IMPORTRANGE(""https://docs.google.com/spreadsheets/d/1SX6NBoVAgQJ6U1MVXOaj8PK2l7WJ3RER9xtqwdhxkhw/edit?usp=sharing"",""ฉะเชิงเทรา!J120"")"),1)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IFERROR(__xludf.DUMMYFUNCTION("IMPORTRANGE(""https://docs.google.com/spreadsheets/d/1SX6NBoVAgQJ6U1MVXOaj8PK2l7WJ3RER9xtqwdhxkhw/edit?usp=sharing"",""ฉะเชิงเทรา!J121"")"),1)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IFERROR(__xludf.DUMMYFUNCTION("IMPORTRANGE(""https://docs.google.com/spreadsheets/d/1SX6NBoVAgQJ6U1MVXOaj8PK2l7WJ3RER9xtqwdhxkhw/edit?usp=sharing"",""ฉะเชิงเทรา!J122"")"),1)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IFERROR(__xludf.DUMMYFUNCTION("IMPORTRANGE(""https://docs.google.com/spreadsheets/d/1SX6NBoVAgQJ6U1MVXOaj8PK2l7WJ3RER9xtqwdhxkhw/edit?usp=sharing"",""ฉะเชิงเทรา!I124"")"),40000)</f>
        <v>40000</v>
      </c>
      <c r="J199" s="190">
        <f ca="1">IFERROR(__xludf.DUMMYFUNCTION("IMPORTRANGE(""https://docs.google.com/spreadsheets/d/1SX6NBoVAgQJ6U1MVXOaj8PK2l7WJ3RER9xtqwdhxkhw/edit?usp=sharing"",""ฉะเชิงเทรา!J124"")"),40000)</f>
        <v>40000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IFERROR(__xludf.DUMMYFUNCTION("IMPORTRANGE(""https://docs.google.com/spreadsheets/d/1SX6NBoVAgQJ6U1MVXOaj8PK2l7WJ3RER9xtqwdhxkhw/edit?usp=sharing"",""ฉะเชิงเทรา!I125"")"),40000)</f>
        <v>40000</v>
      </c>
      <c r="J200" s="190">
        <f ca="1">IFERROR(__xludf.DUMMYFUNCTION("IMPORTRANGE(""https://docs.google.com/spreadsheets/d/1SX6NBoVAgQJ6U1MVXOaj8PK2l7WJ3RER9xtqwdhxkhw/edit?usp=sharing"",""ฉะเชิงเทรา!J125"")"),0)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IFERROR(__xludf.DUMMYFUNCTION("IMPORTRANGE(""https://docs.google.com/spreadsheets/d/1SX6NBoVAgQJ6U1MVXOaj8PK2l7WJ3RER9xtqwdhxkhw/edit?usp=sharing"",""ฉะเชิงเทรา!I126"")"),15)</f>
        <v>15</v>
      </c>
      <c r="J201" s="190">
        <f ca="1">IFERROR(__xludf.DUMMYFUNCTION("IMPORTRANGE(""https://docs.google.com/spreadsheets/d/1SX6NBoVAgQJ6U1MVXOaj8PK2l7WJ3RER9xtqwdhxkhw/edit?usp=sharing"",""ฉะเชิงเทรา!J126"")"),15)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IFERROR(__xludf.DUMMYFUNCTION("IMPORTRANGE(""https://docs.google.com/spreadsheets/d/1SX6NBoVAgQJ6U1MVXOaj8PK2l7WJ3RER9xtqwdhxkhw/edit?usp=sharing"",""ฉะเชิงเทรา!J127"")"),0)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IFERROR(__xludf.DUMMYFUNCTION("IMPORTRANGE(""https://docs.google.com/spreadsheets/d/1SX6NBoVAgQJ6U1MVXOaj8PK2l7WJ3RER9xtqwdhxkhw/edit?usp=sharing"",""ฉะเชิงเทรา!J128"")"),0)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IFERROR(__xludf.DUMMYFUNCTION("IMPORTRANGE(""https://docs.google.com/spreadsheets/d/1SX6NBoVAgQJ6U1MVXOaj8PK2l7WJ3RER9xtqwdhxkhw/edit?usp=sharing"",""ฉะเชิงเทรา!I129"")"),80)</f>
        <v>80</v>
      </c>
      <c r="J204" s="284">
        <f ca="1">IFERROR(__xludf.DUMMYFUNCTION("IMPORTRANGE(""https://docs.google.com/spreadsheets/d/1SX6NBoVAgQJ6U1MVXOaj8PK2l7WJ3RER9xtqwdhxkhw/edit?usp=sharing"",""ฉะเชิงเทรา!J129"")"),80)</f>
        <v>80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IFERROR(__xludf.DUMMYFUNCTION("IMPORTRANGE(""https://docs.google.com/spreadsheets/d/1SX6NBoVAgQJ6U1MVXOaj8PK2l7WJ3RER9xtqwdhxkhw/edit?usp=sharing"",""ฉะเชิงเทรา!J135"")"),1)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IFERROR(__xludf.DUMMYFUNCTION("IMPORTRANGE(""https://docs.google.com/spreadsheets/d/1SX6NBoVAgQJ6U1MVXOaj8PK2l7WJ3RER9xtqwdhxkhw/edit?usp=sharing"",""ฉะเชิงเทรา!J136"")"),1)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IFERROR(__xludf.DUMMYFUNCTION("IMPORTRANGE(""https://docs.google.com/spreadsheets/d/1SX6NBoVAgQJ6U1MVXOaj8PK2l7WJ3RER9xtqwdhxkhw/edit?usp=sharing"",""ฉะเชิงเทรา!J137"")"),1)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IFERROR(__xludf.DUMMYFUNCTION("IMPORTRANGE(""https://docs.google.com/spreadsheets/d/1SX6NBoVAgQJ6U1MVXOaj8PK2l7WJ3RER9xtqwdhxkhw/edit?usp=sharing"",""ฉะเชิงเทรา!I138"")"),80)</f>
        <v>80</v>
      </c>
      <c r="J213" s="205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IFERROR(__xludf.DUMMYFUNCTION("IMPORTRANGE(""https://docs.google.com/spreadsheets/d/1SX6NBoVAgQJ6U1MVXOaj8PK2l7WJ3RER9xtqwdhxkhw/edit?usp=sharing"",""ฉะเชิงเทรา!I140"")"),40)</f>
        <v>40</v>
      </c>
      <c r="J215" s="205">
        <f ca="1">IFERROR(__xludf.DUMMYFUNCTION("IMPORTRANGE(""https://docs.google.com/spreadsheets/d/1SX6NBoVAgQJ6U1MVXOaj8PK2l7WJ3RER9xtqwdhxkhw/edit?usp=sharing"",""ฉะเชิงเทรา!J140"")"),0)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IFERROR(__xludf.DUMMYFUNCTION("IMPORTRANGE(""https://docs.google.com/spreadsheets/d/1SX6NBoVAgQJ6U1MVXOaj8PK2l7WJ3RER9xtqwdhxkhw/edit?usp=sharing"",""ฉะเชิงเทรา!I141"")"),1)</f>
        <v>1</v>
      </c>
      <c r="J216" s="205">
        <f ca="1">IFERROR(__xludf.DUMMYFUNCTION("IMPORTRANGE(""https://docs.google.com/spreadsheets/d/1SX6NBoVAgQJ6U1MVXOaj8PK2l7WJ3RER9xtqwdhxkhw/edit?usp=sharing"",""ฉะเชิงเทรา!J141"")"),0)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IFERROR(__xludf.DUMMYFUNCTION("IMPORTRANGE(""https://docs.google.com/spreadsheets/d/1SX6NBoVAgQJ6U1MVXOaj8PK2l7WJ3RER9xtqwdhxkhw/edit?usp=sharing"",""ฉะเชิงเทรา!J142"")"),0)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IFERROR(__xludf.DUMMYFUNCTION("IMPORTRANGE(""https://docs.google.com/spreadsheets/d/1Yj_ptqi66GCucihVvJfMjLAmec39IyEx_6qawtMGysU/edit?usp=sharing"",""สบก!BS61"")"),21125)</f>
        <v>21125</v>
      </c>
      <c r="N224" s="170">
        <f ca="1">IFERROR(__xludf.DUMMYFUNCTION("IMPORTRANGE(""https://docs.google.com/spreadsheets/d/1Yj_ptqi66GCucihVvJfMjLAmec39IyEx_6qawtMGysU/edit?usp=sharing"",""สบก!BT61"")"),21125)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IFERROR(__xludf.DUMMYFUNCTION("IMPORTRANGE(""https://docs.google.com/spreadsheets/d/1Yj_ptqi66GCucihVvJfMjLAmec39IyEx_6qawtMGysU/edit?usp=sharing"",""สบก!BO61"")"),0)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IFERROR(__xludf.DUMMYFUNCTION("IMPORTRANGE(""https://docs.google.com/spreadsheets/d/1Yj_ptqi66GCucihVvJfMjLAmec39IyEx_6qawtMGysU/edit?usp=sharing"",""สบก!BP61"")"),21125)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IFERROR(__xludf.DUMMYFUNCTION("IMPORTRANGE(""https://docs.google.com/spreadsheets/d/1SX6NBoVAgQJ6U1MVXOaj8PK2l7WJ3RER9xtqwdhxkhw/edit?usp=sharing"",""ฉะเชิงเทรา!J151"")"),0)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IFERROR(__xludf.DUMMYFUNCTION("IMPORTRANGE(""https://docs.google.com/spreadsheets/d/1SX6NBoVAgQJ6U1MVXOaj8PK2l7WJ3RER9xtqwdhxkhw/edit?usp=sharing"",""ฉะเชิงเทรา!J152"")"),1)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IFERROR(__xludf.DUMMYFUNCTION("IMPORTRANGE(""https://docs.google.com/spreadsheets/d/1SX6NBoVAgQJ6U1MVXOaj8PK2l7WJ3RER9xtqwdhxkhw/edit?usp=sharing"",""ฉะเชิงเทรา!J153"")"),1)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IFERROR(__xludf.DUMMYFUNCTION("IMPORTRANGE(""https://docs.google.com/spreadsheets/d/1SX6NBoVAgQJ6U1MVXOaj8PK2l7WJ3RER9xtqwdhxkhw/edit?usp=sharing"",""ฉะเชิงเทรา!J154"")"),1)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IFERROR(__xludf.DUMMYFUNCTION("IMPORTRANGE(""https://docs.google.com/spreadsheets/d/1SX6NBoVAgQJ6U1MVXOaj8PK2l7WJ3RER9xtqwdhxkhw/edit?usp=sharing"",""ฉะเชิงเทรา!I155"")"),15)</f>
        <v>15</v>
      </c>
      <c r="J235" s="190">
        <f ca="1">IFERROR(__xludf.DUMMYFUNCTION("IMPORTRANGE(""https://docs.google.com/spreadsheets/d/1SX6NBoVAgQJ6U1MVXOaj8PK2l7WJ3RER9xtqwdhxkhw/edit?usp=sharing"",""ฉะเชิงเทรา!J155"")"),15)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IFERROR(__xludf.DUMMYFUNCTION("IMPORTRANGE(""https://docs.google.com/spreadsheets/d/1SX6NBoVAgQJ6U1MVXOaj8PK2l7WJ3RER9xtqwdhxkhw/edit?usp=sharing"",""ฉะเชิงเทรา!J156"")"),0)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IFERROR(__xludf.DUMMYFUNCTION("IMPORTRANGE(""https://docs.google.com/spreadsheets/d/1SX6NBoVAgQJ6U1MVXOaj8PK2l7WJ3RER9xtqwdhxkhw/edit?usp=sharing"",""ฉะเชิงเทรา!J157"")"),0)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IFERROR(__xludf.DUMMYFUNCTION("IMPORTRANGE(""https://docs.google.com/spreadsheets/d/1SX6NBoVAgQJ6U1MVXOaj8PK2l7WJ3RER9xtqwdhxkhw/edit?usp=sharing"",""ฉะเชิงเทรา!J159"")"),"")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IFERROR(__xludf.DUMMYFUNCTION("IMPORTRANGE(""https://docs.google.com/spreadsheets/d/1SX6NBoVAgQJ6U1MVXOaj8PK2l7WJ3RER9xtqwdhxkhw/edit?usp=sharing"",""ฉะเชิงเทรา!J161"")"),0)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IFERROR(__xludf.DUMMYFUNCTION("IMPORTRANGE(""https://docs.google.com/spreadsheets/d/1SX6NBoVAgQJ6U1MVXOaj8PK2l7WJ3RER9xtqwdhxkhw/edit?usp=sharing"",""ฉะเชิงเทรา!J162"")"),0)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IFERROR(__xludf.DUMMYFUNCTION("IMPORTRANGE(""https://docs.google.com/spreadsheets/d/1SX6NBoVAgQJ6U1MVXOaj8PK2l7WJ3RER9xtqwdhxkhw/edit?usp=sharing"",""ฉะเชิงเทรา!J163"")"),0)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IFERROR(__xludf.DUMMYFUNCTION("IMPORTRANGE(""https://docs.google.com/spreadsheets/d/1SX6NBoVAgQJ6U1MVXOaj8PK2l7WJ3RER9xtqwdhxkhw/edit?usp=sharing"",""ฉะเชิงเทรา!I164"")"),0)</f>
        <v>0</v>
      </c>
      <c r="J244" s="189">
        <f ca="1">IFERROR(__xludf.DUMMYFUNCTION("IMPORTRANGE(""https://docs.google.com/spreadsheets/d/1SX6NBoVAgQJ6U1MVXOaj8PK2l7WJ3RER9xtqwdhxkhw/edit?usp=sharing"",""ฉะเชิงเทรา!J164"")"),0)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IFERROR(__xludf.DUMMYFUNCTION("IMPORTRANGE(""https://docs.google.com/spreadsheets/d/1SX6NBoVAgQJ6U1MVXOaj8PK2l7WJ3RER9xtqwdhxkhw/edit?usp=sharing"",""ฉะเชิงเทรา!J165"")"),0)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IFERROR(__xludf.DUMMYFUNCTION("IMPORTRANGE(""https://docs.google.com/spreadsheets/d/1SX6NBoVAgQJ6U1MVXOaj8PK2l7WJ3RER9xtqwdhxkhw/edit?usp=sharing"",""ฉะเชิงเทรา!I169"")"),20)</f>
        <v>20</v>
      </c>
      <c r="J249" s="316">
        <f ca="1">IFERROR(__xludf.DUMMYFUNCTION("IMPORTRANGE(""https://docs.google.com/spreadsheets/d/1SX6NBoVAgQJ6U1MVXOaj8PK2l7WJ3RER9xtqwdhxkhw/edit?usp=sharing"",""ฉะเชิงเทรา!J169"")"),20)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35990</v>
      </c>
      <c r="O250" s="151">
        <f t="shared" ref="O250:O252" ca="1" si="78">IF(L250&gt;0,N250*100/L250,0)</f>
        <v>50.406162464985997</v>
      </c>
      <c r="P250" s="151">
        <f t="shared" ref="P250:P252" ca="1" si="79">IF(M250&gt;0,N250*100/M250,0)</f>
        <v>97.270270270270274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35990</v>
      </c>
      <c r="O252" s="156">
        <f t="shared" ca="1" si="78"/>
        <v>50.406162464985997</v>
      </c>
      <c r="P252" s="156">
        <f t="shared" ca="1" si="79"/>
        <v>97.270270270270274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IFERROR(__xludf.DUMMYFUNCTION("IMPORTRANGE(""https://docs.google.com/spreadsheets/d/1Yj_ptqi66GCucihVvJfMjLAmec39IyEx_6qawtMGysU/edit?usp=sharing"",""สบก!CB61"")"),37000)</f>
        <v>37000</v>
      </c>
      <c r="N254" s="170">
        <f ca="1">IFERROR(__xludf.DUMMYFUNCTION("IMPORTRANGE(""https://docs.google.com/spreadsheets/d/1Yj_ptqi66GCucihVvJfMjLAmec39IyEx_6qawtMGysU/edit?usp=sharing"",""สบก!CC61"")"),35990)</f>
        <v>35990</v>
      </c>
      <c r="O254" s="170">
        <f ca="1">IF(L254&gt;0,N254*100/L254,0)</f>
        <v>50.406162464985997</v>
      </c>
      <c r="P254" s="170">
        <f ca="1">IF(M254&gt;0,N254*100/M254,0)</f>
        <v>97.270270270270274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IFERROR(__xludf.DUMMYFUNCTION("IMPORTRANGE(""https://docs.google.com/spreadsheets/d/1Yj_ptqi66GCucihVvJfMjLAmec39IyEx_6qawtMGysU/edit?usp=sharing"",""สบก!BX61"")"),0)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IFERROR(__xludf.DUMMYFUNCTION("IMPORTRANGE(""https://docs.google.com/spreadsheets/d/1Yj_ptqi66GCucihVvJfMjLAmec39IyEx_6qawtMGysU/edit?usp=sharing"",""สบก!BY61"")"),71400)</f>
        <v>71400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IFERROR(__xludf.DUMMYFUNCTION("IMPORTRANGE(""https://docs.google.com/spreadsheets/d/1SX6NBoVAgQJ6U1MVXOaj8PK2l7WJ3RER9xtqwdhxkhw/edit?usp=sharing"",""ฉะเชิงเทรา!J175"")"),0)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IFERROR(__xludf.DUMMYFUNCTION("IMPORTRANGE(""https://docs.google.com/spreadsheets/d/1SX6NBoVAgQJ6U1MVXOaj8PK2l7WJ3RER9xtqwdhxkhw/edit?usp=sharing"",""ฉะเชิงเทรา!J176"")"),1)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IFERROR(__xludf.DUMMYFUNCTION("IMPORTRANGE(""https://docs.google.com/spreadsheets/d/1SX6NBoVAgQJ6U1MVXOaj8PK2l7WJ3RER9xtqwdhxkhw/edit?usp=sharing"",""ฉะเชิงเทรา!J177"")"),1)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IFERROR(__xludf.DUMMYFUNCTION("IMPORTRANGE(""https://docs.google.com/spreadsheets/d/1SX6NBoVAgQJ6U1MVXOaj8PK2l7WJ3RER9xtqwdhxkhw/edit?usp=sharing"",""ฉะเชิงเทรา!J178"")"),1)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IFERROR(__xludf.DUMMYFUNCTION("IMPORTRANGE(""https://docs.google.com/spreadsheets/d/1SX6NBoVAgQJ6U1MVXOaj8PK2l7WJ3RER9xtqwdhxkhw/edit?usp=sharing"",""ฉะเชิงเทรา!I179"")"),1)</f>
        <v>1</v>
      </c>
      <c r="J264" s="190">
        <f ca="1">IFERROR(__xludf.DUMMYFUNCTION("IMPORTRANGE(""https://docs.google.com/spreadsheets/d/1SX6NBoVAgQJ6U1MVXOaj8PK2l7WJ3RER9xtqwdhxkhw/edit?usp=sharing"",""ฉะเชิงเทรา!J179"")"),1)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IFERROR(__xludf.DUMMYFUNCTION("IMPORTRANGE(""https://docs.google.com/spreadsheets/d/1SX6NBoVAgQJ6U1MVXOaj8PK2l7WJ3RER9xtqwdhxkhw/edit?usp=sharing"",""ฉะเชิงเทรา!I180"")"),20)</f>
        <v>20</v>
      </c>
      <c r="J265" s="190">
        <f ca="1">IFERROR(__xludf.DUMMYFUNCTION("IMPORTRANGE(""https://docs.google.com/spreadsheets/d/1SX6NBoVAgQJ6U1MVXOaj8PK2l7WJ3RER9xtqwdhxkhw/edit?usp=sharing"",""ฉะเชิงเทรา!J180"")"),20)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IFERROR(__xludf.DUMMYFUNCTION("IMPORTRANGE(""https://docs.google.com/spreadsheets/d/1SX6NBoVAgQJ6U1MVXOaj8PK2l7WJ3RER9xtqwdhxkhw/edit?usp=sharing"",""ฉะเชิงเทรา!I181"")"),20)</f>
        <v>20</v>
      </c>
      <c r="J266" s="190">
        <f ca="1">IFERROR(__xludf.DUMMYFUNCTION("IMPORTRANGE(""https://docs.google.com/spreadsheets/d/1SX6NBoVAgQJ6U1MVXOaj8PK2l7WJ3RER9xtqwdhxkhw/edit?usp=sharing"",""ฉะเชิงเทรา!J181"")"),0)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IFERROR(__xludf.DUMMYFUNCTION("IMPORTRANGE(""https://docs.google.com/spreadsheets/d/1SX6NBoVAgQJ6U1MVXOaj8PK2l7WJ3RER9xtqwdhxkhw/edit?usp=sharing"",""ฉะเชิงเทรา!I182"")"),1)</f>
        <v>1</v>
      </c>
      <c r="J267" s="190">
        <f ca="1">IFERROR(__xludf.DUMMYFUNCTION("IMPORTRANGE(""https://docs.google.com/spreadsheets/d/1SX6NBoVAgQJ6U1MVXOaj8PK2l7WJ3RER9xtqwdhxkhw/edit?usp=sharing"",""ฉะเชิงเทรา!J182"")"),0)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IFERROR(__xludf.DUMMYFUNCTION("IMPORTRANGE(""https://docs.google.com/spreadsheets/d/1SX6NBoVAgQJ6U1MVXOaj8PK2l7WJ3RER9xtqwdhxkhw/edit?usp=sharing"",""ฉะเชิงเทรา!J183"")"),0)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IFERROR(__xludf.DUMMYFUNCTION("IMPORTRANGE(""https://docs.google.com/spreadsheets/d/1SX6NBoVAgQJ6U1MVXOaj8PK2l7WJ3RER9xtqwdhxkhw/edit?usp=sharing"",""ฉะเชิงเทรา!J184"")"),0)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IFERROR(__xludf.DUMMYFUNCTION("IMPORTRANGE(""https://docs.google.com/spreadsheets/d/1SX6NBoVAgQJ6U1MVXOaj8PK2l7WJ3RER9xtqwdhxkhw/edit?usp=sharing"",""ฉะเชิงเทรา!I185"")"),20)</f>
        <v>20</v>
      </c>
      <c r="J270" s="316">
        <f ca="1">IFERROR(__xludf.DUMMYFUNCTION("IMPORTRANGE(""https://docs.google.com/spreadsheets/d/1SX6NBoVAgQJ6U1MVXOaj8PK2l7WJ3RER9xtqwdhxkhw/edit?usp=sharing"",""ฉะเชิงเทรา!J185"")"),20)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88000</v>
      </c>
      <c r="N271" s="152">
        <f t="shared" ca="1" si="83"/>
        <v>70970</v>
      </c>
      <c r="O271" s="151">
        <f t="shared" ref="O271:O273" ca="1" si="84">IF(L271&gt;0,N271*100/L271,0)</f>
        <v>38.654684095860567</v>
      </c>
      <c r="P271" s="151">
        <f t="shared" ref="P271:P273" ca="1" si="85">IF(M271&gt;0,N271*100/M271,0)</f>
        <v>80.647727272727266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88000</v>
      </c>
      <c r="N273" s="157">
        <f t="shared" ca="1" si="87"/>
        <v>70970</v>
      </c>
      <c r="O273" s="156">
        <f t="shared" ca="1" si="84"/>
        <v>38.654684095860567</v>
      </c>
      <c r="P273" s="156">
        <f t="shared" ca="1" si="85"/>
        <v>80.647727272727266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IFERROR(__xludf.DUMMYFUNCTION("IMPORTRANGE(""https://docs.google.com/spreadsheets/d/1Yj_ptqi66GCucihVvJfMjLAmec39IyEx_6qawtMGysU/edit?usp=sharing"",""สบก!CK61"")"),88000)</f>
        <v>88000</v>
      </c>
      <c r="N275" s="170">
        <f ca="1">IFERROR(__xludf.DUMMYFUNCTION("IMPORTRANGE(""https://docs.google.com/spreadsheets/d/1Yj_ptqi66GCucihVvJfMjLAmec39IyEx_6qawtMGysU/edit?usp=sharing"",""สบก!CL61"")"),70970)</f>
        <v>70970</v>
      </c>
      <c r="O275" s="170">
        <f ca="1">IF(L275&gt;0,N275*100/L275,0)</f>
        <v>38.654684095860567</v>
      </c>
      <c r="P275" s="170">
        <f ca="1">IF(M275&gt;0,N275*100/M275,0)</f>
        <v>80.647727272727266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IFERROR(__xludf.DUMMYFUNCTION("IMPORTRANGE(""https://docs.google.com/spreadsheets/d/1Yj_ptqi66GCucihVvJfMjLAmec39IyEx_6qawtMGysU/edit?usp=sharing"",""สบก!CG61"")"),0)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IFERROR(__xludf.DUMMYFUNCTION("IMPORTRANGE(""https://docs.google.com/spreadsheets/d/1Yj_ptqi66GCucihVvJfMjLAmec39IyEx_6qawtMGysU/edit?usp=sharing"",""สบก!CH61"")"),183600)</f>
        <v>183600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IFERROR(__xludf.DUMMYFUNCTION("IMPORTRANGE(""https://docs.google.com/spreadsheets/d/1SX6NBoVAgQJ6U1MVXOaj8PK2l7WJ3RER9xtqwdhxkhw/edit?usp=sharing"",""ฉะเชิงเทรา!J191"")"),0)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IFERROR(__xludf.DUMMYFUNCTION("IMPORTRANGE(""https://docs.google.com/spreadsheets/d/1SX6NBoVAgQJ6U1MVXOaj8PK2l7WJ3RER9xtqwdhxkhw/edit?usp=sharing"",""ฉะเชิงเทรา!J192"")"),1)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IFERROR(__xludf.DUMMYFUNCTION("IMPORTRANGE(""https://docs.google.com/spreadsheets/d/1SX6NBoVAgQJ6U1MVXOaj8PK2l7WJ3RER9xtqwdhxkhw/edit?usp=sharing"",""ฉะเชิงเทรา!J193"")"),1)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IFERROR(__xludf.DUMMYFUNCTION("IMPORTRANGE(""https://docs.google.com/spreadsheets/d/1SX6NBoVAgQJ6U1MVXOaj8PK2l7WJ3RER9xtqwdhxkhw/edit?usp=sharing"",""ฉะเชิงเทรา!J194"")"),1)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IFERROR(__xludf.DUMMYFUNCTION("IMPORTRANGE(""https://docs.google.com/spreadsheets/d/1SX6NBoVAgQJ6U1MVXOaj8PK2l7WJ3RER9xtqwdhxkhw/edit?usp=sharing"",""ฉะเชิงเทรา!I195"")"),20)</f>
        <v>20</v>
      </c>
      <c r="J285" s="190">
        <f ca="1">IFERROR(__xludf.DUMMYFUNCTION("IMPORTRANGE(""https://docs.google.com/spreadsheets/d/1SX6NBoVAgQJ6U1MVXOaj8PK2l7WJ3RER9xtqwdhxkhw/edit?usp=sharing"",""ฉะเชิงเทรา!J195"")"),20)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IFERROR(__xludf.DUMMYFUNCTION("IMPORTRANGE(""https://docs.google.com/spreadsheets/d/1SX6NBoVAgQJ6U1MVXOaj8PK2l7WJ3RER9xtqwdhxkhw/edit?usp=sharing"",""ฉะเชิงเทรา!J196"")"),0)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IFERROR(__xludf.DUMMYFUNCTION("IMPORTRANGE(""https://docs.google.com/spreadsheets/d/1SX6NBoVAgQJ6U1MVXOaj8PK2l7WJ3RER9xtqwdhxkhw/edit?usp=sharing"",""ฉะเชิงเทรา!J197"")"),0)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IFERROR(__xludf.DUMMYFUNCTION("IMPORTRANGE(""https://docs.google.com/spreadsheets/d/1SX6NBoVAgQJ6U1MVXOaj8PK2l7WJ3RER9xtqwdhxkhw/edit?usp=sharing"",""ฉะเชิงเทรา!I199"")"),0)</f>
        <v>0</v>
      </c>
      <c r="J289" s="316">
        <f ca="1">IFERROR(__xludf.DUMMYFUNCTION("IMPORTRANGE(""https://docs.google.com/spreadsheets/d/1SX6NBoVAgQJ6U1MVXOaj8PK2l7WJ3RER9xtqwdhxkhw/edit?usp=sharing"",""ฉะเชิงเทรา!J199"")"),0)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IFERROR(__xludf.DUMMYFUNCTION("IMPORTRANGE(""https://docs.google.com/spreadsheets/d/1Yj_ptqi66GCucihVvJfMjLAmec39IyEx_6qawtMGysU/edit?usp=sharing"",""สบก!CT61"")"),0)</f>
        <v>0</v>
      </c>
      <c r="N294" s="170">
        <f ca="1">IFERROR(__xludf.DUMMYFUNCTION("IMPORTRANGE(""https://docs.google.com/spreadsheets/d/1Yj_ptqi66GCucihVvJfMjLAmec39IyEx_6qawtMGysU/edit?usp=sharing"",""สบก!CU61"")"),0)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IFERROR(__xludf.DUMMYFUNCTION("IMPORTRANGE(""https://docs.google.com/spreadsheets/d/1Yj_ptqi66GCucihVvJfMjLAmec39IyEx_6qawtMGysU/edit?usp=sharing"",""สบก!CP61"")"),0)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IFERROR(__xludf.DUMMYFUNCTION("IMPORTRANGE(""https://docs.google.com/spreadsheets/d/1Yj_ptqi66GCucihVvJfMjLAmec39IyEx_6qawtMGysU/edit?usp=sharing"",""สบก!CQ61"")"),0)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IFERROR(__xludf.DUMMYFUNCTION("IMPORTRANGE(""https://docs.google.com/spreadsheets/d/1SX6NBoVAgQJ6U1MVXOaj8PK2l7WJ3RER9xtqwdhxkhw/edit?usp=sharing"",""ฉะเชิงเทรา!I209"")"),0)</f>
        <v>0</v>
      </c>
      <c r="J304" s="205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IFERROR(__xludf.DUMMYFUNCTION("IMPORTRANGE(""https://docs.google.com/spreadsheets/d/1SX6NBoVAgQJ6U1MVXOaj8PK2l7WJ3RER9xtqwdhxkhw/edit?usp=sharing"",""ฉะเชิงเทรา!I211"")"),0)</f>
        <v>0</v>
      </c>
      <c r="J306" s="205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IFERROR(__xludf.DUMMYFUNCTION("IMPORTRANGE(""https://docs.google.com/spreadsheets/d/1SX6NBoVAgQJ6U1MVXOaj8PK2l7WJ3RER9xtqwdhxkhw/edit?usp=sharing"",""ฉะเชิงเทรา!I214"")"),0)</f>
        <v>0</v>
      </c>
      <c r="J309" s="333">
        <f ca="1">IFERROR(__xludf.DUMMYFUNCTION("IMPORTRANGE(""https://docs.google.com/spreadsheets/d/1SX6NBoVAgQJ6U1MVXOaj8PK2l7WJ3RER9xtqwdhxkhw/edit?usp=sharing"",""ฉะเชิงเทรา!J214"")"),0)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IFERROR(__xludf.DUMMYFUNCTION("IMPORTRANGE(""https://docs.google.com/spreadsheets/d/1Yj_ptqi66GCucihVvJfMjLAmec39IyEx_6qawtMGysU/edit?usp=sharing"",""สบก!DC61"")"),0)</f>
        <v>0</v>
      </c>
      <c r="N314" s="170">
        <f ca="1">IFERROR(__xludf.DUMMYFUNCTION("IMPORTRANGE(""https://docs.google.com/spreadsheets/d/1Yj_ptqi66GCucihVvJfMjLAmec39IyEx_6qawtMGysU/edit?usp=sharing"",""สบก!DD61"")"),0)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IFERROR(__xludf.DUMMYFUNCTION("IMPORTRANGE(""https://docs.google.com/spreadsheets/d/1Yj_ptqi66GCucihVvJfMjLAmec39IyEx_6qawtMGysU/edit?usp=sharing"",""สบก!CY61"")"),0)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IFERROR(__xludf.DUMMYFUNCTION("IMPORTRANGE(""https://docs.google.com/spreadsheets/d/1Yj_ptqi66GCucihVvJfMjLAmec39IyEx_6qawtMGysU/edit?usp=sharing"",""สบก!CZ61"")"),0)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IFERROR(__xludf.DUMMYFUNCTION("IMPORTRANGE(""https://docs.google.com/spreadsheets/d/1SX6NBoVAgQJ6U1MVXOaj8PK2l7WJ3RER9xtqwdhxkhw/edit?usp=sharing"",""ฉะเชิงเทรา!I224"")"),0)</f>
        <v>0</v>
      </c>
      <c r="J324" s="205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IFERROR(__xludf.DUMMYFUNCTION("IMPORTRANGE(""https://docs.google.com/spreadsheets/d/1SX6NBoVAgQJ6U1MVXOaj8PK2l7WJ3RER9xtqwdhxkhw/edit?usp=sharing"",""ฉะเชิงเทรา!I228"")"),210)</f>
        <v>210</v>
      </c>
      <c r="J328" s="339">
        <f ca="1">IFERROR(__xludf.DUMMYFUNCTION("IMPORTRANGE(""https://docs.google.com/spreadsheets/d/1SX6NBoVAgQJ6U1MVXOaj8PK2l7WJ3RER9xtqwdhxkhw/edit?usp=sharing"",""ฉะเชิงเทรา!J228"")"),105)</f>
        <v>105</v>
      </c>
      <c r="K328" s="317">
        <f ca="1">IF(I328&gt;0,J328*100/I328,0)</f>
        <v>50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985070</v>
      </c>
      <c r="M329" s="152">
        <f t="shared" ca="1" si="98"/>
        <v>549480</v>
      </c>
      <c r="N329" s="152">
        <f t="shared" ca="1" si="98"/>
        <v>454517</v>
      </c>
      <c r="O329" s="151">
        <f t="shared" ref="O329:O331" ca="1" si="99">IF(L329&gt;0,N329*100/L329,0)</f>
        <v>46.140578842112745</v>
      </c>
      <c r="P329" s="151">
        <f t="shared" ref="P329:P331" ca="1" si="100">IF(M329&gt;0,N329*100/M329,0)</f>
        <v>82.71766033340613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985070</v>
      </c>
      <c r="M331" s="157">
        <f t="shared" ca="1" si="102"/>
        <v>549480</v>
      </c>
      <c r="N331" s="157">
        <f t="shared" ca="1" si="102"/>
        <v>454517</v>
      </c>
      <c r="O331" s="156">
        <f t="shared" ca="1" si="99"/>
        <v>46.140578842112745</v>
      </c>
      <c r="P331" s="156">
        <f t="shared" ca="1" si="100"/>
        <v>82.71766033340613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968070</v>
      </c>
      <c r="M333" s="169">
        <f ca="1">IFERROR(__xludf.DUMMYFUNCTION("IMPORTRANGE(""https://docs.google.com/spreadsheets/d/1Yj_ptqi66GCucihVvJfMjLAmec39IyEx_6qawtMGysU/edit?usp=sharing"",""สบก!DL61"")"),532480)</f>
        <v>532480</v>
      </c>
      <c r="N333" s="170">
        <f ca="1">IFERROR(__xludf.DUMMYFUNCTION("IMPORTRANGE(""https://docs.google.com/spreadsheets/d/1Yj_ptqi66GCucihVvJfMjLAmec39IyEx_6qawtMGysU/edit?usp=sharing"",""สบก!DM61"")"),437517)</f>
        <v>437517</v>
      </c>
      <c r="O333" s="170">
        <f ca="1">IF(L333&gt;0,N333*100/L333,0)</f>
        <v>45.194768973318048</v>
      </c>
      <c r="P333" s="170">
        <f ca="1">IF(M333&gt;0,N333*100/M333,0)</f>
        <v>82.165902944711533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IFERROR(__xludf.DUMMYFUNCTION("IMPORTRANGE(""https://docs.google.com/spreadsheets/d/1Yj_ptqi66GCucihVvJfMjLAmec39IyEx_6qawtMGysU/edit?usp=sharing"",""สบก!DH61"")"),529200)</f>
        <v>529200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IFERROR(__xludf.DUMMYFUNCTION("IMPORTRANGE(""https://docs.google.com/spreadsheets/d/1Yj_ptqi66GCucihVvJfMjLAmec39IyEx_6qawtMGysU/edit?usp=sharing"",""สบก!DI61"")"),438870)</f>
        <v>438870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IFERROR(__xludf.DUMMYFUNCTION("IMPORTRANGE(""https://docs.google.com/spreadsheets/d/1SX6NBoVAgQJ6U1MVXOaj8PK2l7WJ3RER9xtqwdhxkhw/edit?usp=sharing"",""ฉะเชิงเทรา!I234"")"),0)</f>
        <v>0</v>
      </c>
      <c r="J339" s="189">
        <f ca="1">IFERROR(__xludf.DUMMYFUNCTION("IMPORTRANGE(""https://docs.google.com/spreadsheets/d/1SX6NBoVAgQJ6U1MVXOaj8PK2l7WJ3RER9xtqwdhxkhw/edit?usp=sharing"",""ฉะเชิงเทรา!J234"")"),246)</f>
        <v>246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IFERROR(__xludf.DUMMYFUNCTION("IMPORTRANGE(""https://docs.google.com/spreadsheets/d/1SX6NBoVAgQJ6U1MVXOaj8PK2l7WJ3RER9xtqwdhxkhw/edit?usp=sharing"",""ฉะเชิงเทรา!I235"")"),3160)</f>
        <v>3160</v>
      </c>
      <c r="J340" s="189">
        <f ca="1">IFERROR(__xludf.DUMMYFUNCTION("IMPORTRANGE(""https://docs.google.com/spreadsheets/d/1SX6NBoVAgQJ6U1MVXOaj8PK2l7WJ3RER9xtqwdhxkhw/edit?usp=sharing"",""ฉะเชิงเทรา!J235"")"),2644.9)</f>
        <v>2644.9</v>
      </c>
      <c r="K340" s="342">
        <f t="shared" ca="1" si="103"/>
        <v>83.699367088607602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IFERROR(__xludf.DUMMYFUNCTION("IMPORTRANGE(""https://docs.google.com/spreadsheets/d/1SX6NBoVAgQJ6U1MVXOaj8PK2l7WJ3RER9xtqwdhxkhw/edit?usp=sharing"",""ฉะเชิงเทรา!I236"")"),210)</f>
        <v>210</v>
      </c>
      <c r="J341" s="189">
        <f ca="1">IFERROR(__xludf.DUMMYFUNCTION("IMPORTRANGE(""https://docs.google.com/spreadsheets/d/1SX6NBoVAgQJ6U1MVXOaj8PK2l7WJ3RER9xtqwdhxkhw/edit?usp=sharing"",""ฉะเชิงเทรา!J236"")"),170)</f>
        <v>170</v>
      </c>
      <c r="K341" s="342">
        <f t="shared" ca="1" si="103"/>
        <v>80.952380952380949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9">
        <f ca="1">IFERROR(__xludf.DUMMYFUNCTION("IMPORTRANGE(""https://docs.google.com/spreadsheets/d/1SX6NBoVAgQJ6U1MVXOaj8PK2l7WJ3RER9xtqwdhxkhw/edit?usp=sharing"",""ฉะเชิงเทรา!J237"")"),2296.41)</f>
        <v>2296.41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IFERROR(__xludf.DUMMYFUNCTION("IMPORTRANGE(""https://docs.google.com/spreadsheets/d/1SX6NBoVAgQJ6U1MVXOaj8PK2l7WJ3RER9xtqwdhxkhw/edit?usp=sharing"",""ฉะเชิงเทรา!I238"")"),210)</f>
        <v>210</v>
      </c>
      <c r="J343" s="189">
        <f ca="1">IFERROR(__xludf.DUMMYFUNCTION("IMPORTRANGE(""https://docs.google.com/spreadsheets/d/1SX6NBoVAgQJ6U1MVXOaj8PK2l7WJ3RER9xtqwdhxkhw/edit?usp=sharing"",""ฉะเชิงเทรา!J238"")"),0)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9">
        <f ca="1">IFERROR(__xludf.DUMMYFUNCTION("IMPORTRANGE(""https://docs.google.com/spreadsheets/d/1SX6NBoVAgQJ6U1MVXOaj8PK2l7WJ3RER9xtqwdhxkhw/edit?usp=sharing"",""ฉะเชิงเทรา!J239"")"),0)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IFERROR(__xludf.DUMMYFUNCTION("IMPORTRANGE(""https://docs.google.com/spreadsheets/d/1SX6NBoVAgQJ6U1MVXOaj8PK2l7WJ3RER9xtqwdhxkhw/edit?usp=sharing"",""ฉะเชิงเทรา!I240"")"),210)</f>
        <v>210</v>
      </c>
      <c r="J345" s="189">
        <f ca="1">IFERROR(__xludf.DUMMYFUNCTION("IMPORTRANGE(""https://docs.google.com/spreadsheets/d/1SX6NBoVAgQJ6U1MVXOaj8PK2l7WJ3RER9xtqwdhxkhw/edit?usp=sharing"",""ฉะเชิงเทรา!J240"")"),105)</f>
        <v>105</v>
      </c>
      <c r="K345" s="342">
        <f t="shared" ca="1" si="103"/>
        <v>50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9">
        <f ca="1">IFERROR(__xludf.DUMMYFUNCTION("IMPORTRANGE(""https://docs.google.com/spreadsheets/d/1SX6NBoVAgQJ6U1MVXOaj8PK2l7WJ3RER9xtqwdhxkhw/edit?usp=sharing"",""ฉะเชิงเทรา!J241"")"),1532.82)</f>
        <v>1532.82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IFERROR(__xludf.DUMMYFUNCTION("IMPORTRANGE(""https://docs.google.com/spreadsheets/d/1SX6NBoVAgQJ6U1MVXOaj8PK2l7WJ3RER9xtqwdhxkhw/edit?usp=sharing"",""ฉะเชิงเทรา!L242"")"),2682919)</f>
        <v>2682919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IFERROR(__xludf.DUMMYFUNCTION("IMPORTRANGE(""https://docs.google.com/spreadsheets/d/1SX6NBoVAgQJ6U1MVXOaj8PK2l7WJ3RER9xtqwdhxkhw/edit?usp=sharing"",""ฉะเชิงเทรา!M242"")"),987962.66)</f>
        <v>987962.66</v>
      </c>
      <c r="O347" s="358">
        <f ca="1">+IF(L347&gt;0,N347*100/L347,0)</f>
        <v>36.824170241442253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IFERROR(__xludf.DUMMYFUNCTION("IMPORTRANGE(""https://docs.google.com/spreadsheets/d/1SX6NBoVAgQJ6U1MVXOaj8PK2l7WJ3RER9xtqwdhxkhw/edit?usp=sharing"",""ฉะเชิงเทรา!M244"")"),214813.02)</f>
        <v>214813.02</v>
      </c>
      <c r="O349" s="373">
        <f ca="1">+IF(L349&gt;0,N349*100/L349,0)</f>
        <v>66.189998151229432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IFERROR(__xludf.DUMMYFUNCTION("IMPORTRANGE(""https://docs.google.com/spreadsheets/d/1SX6NBoVAgQJ6U1MVXOaj8PK2l7WJ3RER9xtqwdhxkhw/edit?usp=sharing"",""ฉะเชิงเทรา!L246"")"),0)</f>
        <v>0</v>
      </c>
      <c r="M351" s="166"/>
      <c r="N351" s="166">
        <f ca="1">IFERROR(__xludf.DUMMYFUNCTION("IMPORTRANGE(""https://docs.google.com/spreadsheets/d/1SX6NBoVAgQJ6U1MVXOaj8PK2l7WJ3RER9xtqwdhxkhw/edit?usp=sharing"",""ฉะเชิงเทรา!M246"")"),0)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7"/>
      <c r="N352" s="166">
        <f ca="1">IFERROR(__xludf.DUMMYFUNCTION("IMPORTRANGE(""https://docs.google.com/spreadsheets/d/1SX6NBoVAgQJ6U1MVXOaj8PK2l7WJ3RER9xtqwdhxkhw/edit?usp=sharing"",""ฉะเชิงเทรา!M247"")"),214813.02)</f>
        <v>214813.02</v>
      </c>
      <c r="O352" s="167">
        <f t="shared" ca="1" si="105"/>
        <v>66.189998151229432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IFERROR(__xludf.DUMMYFUNCTION("IMPORTRANGE(""https://docs.google.com/spreadsheets/d/1SX6NBoVAgQJ6U1MVXOaj8PK2l7WJ3RER9xtqwdhxkhw/edit?usp=sharing"",""ฉะเชิงเทรา!L248"")"),0)</f>
        <v>0</v>
      </c>
      <c r="M353" s="170"/>
      <c r="N353" s="170">
        <f ca="1">IFERROR(__xludf.DUMMYFUNCTION("IMPORTRANGE(""https://docs.google.com/spreadsheets/d/1SX6NBoVAgQJ6U1MVXOaj8PK2l7WJ3RER9xtqwdhxkhw/edit?usp=sharing"",""ฉะเชิงเทรา!M248"")"),0)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IFERROR(__xludf.DUMMYFUNCTION("IMPORTRANGE(""https://docs.google.com/spreadsheets/d/1SX6NBoVAgQJ6U1MVXOaj8PK2l7WJ3RER9xtqwdhxkhw/edit?usp=sharing"",""ฉะเชิงเทรา!L249"")"),324540)</f>
        <v>324540</v>
      </c>
      <c r="M354" s="170"/>
      <c r="N354" s="169">
        <f ca="1">IFERROR(__xludf.DUMMYFUNCTION("IMPORTRANGE(""https://docs.google.com/spreadsheets/d/1SX6NBoVAgQJ6U1MVXOaj8PK2l7WJ3RER9xtqwdhxkhw/edit?usp=sharing"",""ฉะเชิงเทรา!M249"")"),214813.02)</f>
        <v>214813.02</v>
      </c>
      <c r="O354" s="170">
        <f t="shared" ca="1" si="105"/>
        <v>66.189998151229432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IFERROR(__xludf.DUMMYFUNCTION("IMPORTRANGE(""https://docs.google.com/spreadsheets/d/1SX6NBoVAgQJ6U1MVXOaj8PK2l7WJ3RER9xtqwdhxkhw/edit?usp=sharing"",""ฉะเชิงเทรา!M251"")"),80700)</f>
        <v>80700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IFERROR(__xludf.DUMMYFUNCTION("IMPORTRANGE(""https://docs.google.com/spreadsheets/d/1SX6NBoVAgQJ6U1MVXOaj8PK2l7WJ3RER9xtqwdhxkhw/edit?usp=sharing"",""ฉะเชิงเทรา!M252"")"),49133.02)</f>
        <v>49133.02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IFERROR(__xludf.DUMMYFUNCTION("IMPORTRANGE(""https://docs.google.com/spreadsheets/d/1SX6NBoVAgQJ6U1MVXOaj8PK2l7WJ3RER9xtqwdhxkhw/edit?usp=sharing"",""ฉะเชิงเทรา!M253"")"),18620)</f>
        <v>18620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IFERROR(__xludf.DUMMYFUNCTION("IMPORTRANGE(""https://docs.google.com/spreadsheets/d/1SX6NBoVAgQJ6U1MVXOaj8PK2l7WJ3RER9xtqwdhxkhw/edit?usp=sharing"",""ฉะเชิงเทรา!J255"")"),0)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IFERROR(__xludf.DUMMYFUNCTION("IMPORTRANGE(""https://docs.google.com/spreadsheets/d/1SX6NBoVAgQJ6U1MVXOaj8PK2l7WJ3RER9xtqwdhxkhw/edit?usp=sharing"",""ฉะเชิงเทรา!J256"")"),1)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IFERROR(__xludf.DUMMYFUNCTION("IMPORTRANGE(""https://docs.google.com/spreadsheets/d/1SX6NBoVAgQJ6U1MVXOaj8PK2l7WJ3RER9xtqwdhxkhw/edit?usp=sharing"",""ฉะเชิงเทรา!J257"")"),1)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IFERROR(__xludf.DUMMYFUNCTION("IMPORTRANGE(""https://docs.google.com/spreadsheets/d/1SX6NBoVAgQJ6U1MVXOaj8PK2l7WJ3RER9xtqwdhxkhw/edit?usp=sharing"",""ฉะเชิงเทรา!J258"")"),1)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IFERROR(__xludf.DUMMYFUNCTION("IMPORTRANGE(""https://docs.google.com/spreadsheets/d/1SX6NBoVAgQJ6U1MVXOaj8PK2l7WJ3RER9xtqwdhxkhw/edit?usp=sharing"",""ฉะเชิงเทรา!J166"")"),0)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IFERROR(__xludf.DUMMYFUNCTION("IMPORTRANGE(""https://docs.google.com/spreadsheets/d/1SX6NBoVAgQJ6U1MVXOaj8PK2l7WJ3RER9xtqwdhxkhw/edit?usp=sharing"",""ฉะเชิงเทรา!J166"")"),0)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IFERROR(__xludf.DUMMYFUNCTION("IMPORTRANGE(""https://docs.google.com/spreadsheets/d/1SX6NBoVAgQJ6U1MVXOaj8PK2l7WJ3RER9xtqwdhxkhw/edit?usp=sharing"",""ฉะเชิงเทรา!J166"")"),0)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IFERROR(__xludf.DUMMYFUNCTION("IMPORTRANGE(""https://docs.google.com/spreadsheets/d/1SX6NBoVAgQJ6U1MVXOaj8PK2l7WJ3RER9xtqwdhxkhw/edit?usp=sharing"",""ฉะเชิงเทรา!J166"")"),0)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IFERROR(__xludf.DUMMYFUNCTION("IMPORTRANGE(""https://docs.google.com/spreadsheets/d/1SX6NBoVAgQJ6U1MVXOaj8PK2l7WJ3RER9xtqwdhxkhw/edit?usp=sharing"",""ฉะเชิงเทรา!I263"")"),54)</f>
        <v>54</v>
      </c>
      <c r="J368" s="189">
        <f ca="1">IFERROR(__xludf.DUMMYFUNCTION("IMPORTRANGE(""https://docs.google.com/spreadsheets/d/1SX6NBoVAgQJ6U1MVXOaj8PK2l7WJ3RER9xtqwdhxkhw/edit?usp=sharing"",""ฉะเชิงเทรา!J263"")"),54)</f>
        <v>54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IFERROR(__xludf.DUMMYFUNCTION("IMPORTRANGE(""https://docs.google.com/spreadsheets/d/1SX6NBoVAgQJ6U1MVXOaj8PK2l7WJ3RER9xtqwdhxkhw/edit?usp=sharing"",""ฉะเชิงเทรา!I164"")"),0)</f>
        <v>0</v>
      </c>
      <c r="J369" s="205">
        <f ca="1">IFERROR(__xludf.DUMMYFUNCTION("IMPORTRANGE(""https://docs.google.com/spreadsheets/d/1SX6NBoVAgQJ6U1MVXOaj8PK2l7WJ3RER9xtqwdhxkhw/edit?usp=sharing"",""ฉะเชิงเทรา!J164"")"),0)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IFERROR(__xludf.DUMMYFUNCTION("IMPORTRANGE(""https://docs.google.com/spreadsheets/d/1SX6NBoVAgQJ6U1MVXOaj8PK2l7WJ3RER9xtqwdhxkhw/edit?usp=sharing"",""ฉะเชิงเทรา!I265"")"),54)</f>
        <v>54</v>
      </c>
      <c r="J370" s="205">
        <f ca="1">IFERROR(__xludf.DUMMYFUNCTION("IMPORTRANGE(""https://docs.google.com/spreadsheets/d/1SX6NBoVAgQJ6U1MVXOaj8PK2l7WJ3RER9xtqwdhxkhw/edit?usp=sharing"",""ฉะเชิงเทรา!J265"")"),54)</f>
        <v>54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IFERROR(__xludf.DUMMYFUNCTION("IMPORTRANGE(""https://docs.google.com/spreadsheets/d/1SX6NBoVAgQJ6U1MVXOaj8PK2l7WJ3RER9xtqwdhxkhw/edit?usp=sharing"",""ฉะเชิงเทรา!I164"")"),0)</f>
        <v>0</v>
      </c>
      <c r="J371" s="190">
        <f ca="1">IFERROR(__xludf.DUMMYFUNCTION("IMPORTRANGE(""https://docs.google.com/spreadsheets/d/1SX6NBoVAgQJ6U1MVXOaj8PK2l7WJ3RER9xtqwdhxkhw/edit?usp=sharing"",""ฉะเชิงเทรา!J164"")"),0)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IFERROR(__xludf.DUMMYFUNCTION("IMPORTRANGE(""https://docs.google.com/spreadsheets/d/1SX6NBoVAgQJ6U1MVXOaj8PK2l7WJ3RER9xtqwdhxkhw/edit?usp=sharing"",""ฉะเชิงเทรา!I267"")"),54)</f>
        <v>54</v>
      </c>
      <c r="J372" s="190">
        <f ca="1">IFERROR(__xludf.DUMMYFUNCTION("IMPORTRANGE(""https://docs.google.com/spreadsheets/d/1SX6NBoVAgQJ6U1MVXOaj8PK2l7WJ3RER9xtqwdhxkhw/edit?usp=sharing"",""ฉะเชิงเทรา!J267"")"),54)</f>
        <v>54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IFERROR(__xludf.DUMMYFUNCTION("IMPORTRANGE(""https://docs.google.com/spreadsheets/d/1SX6NBoVAgQJ6U1MVXOaj8PK2l7WJ3RER9xtqwdhxkhw/edit?usp=sharing"",""ฉะเชิงเทรา!I164"")"),0)</f>
        <v>0</v>
      </c>
      <c r="J373" s="205">
        <f ca="1">IFERROR(__xludf.DUMMYFUNCTION("IMPORTRANGE(""https://docs.google.com/spreadsheets/d/1SX6NBoVAgQJ6U1MVXOaj8PK2l7WJ3RER9xtqwdhxkhw/edit?usp=sharing"",""ฉะเชิงเทรา!J164"")"),0)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IFERROR(__xludf.DUMMYFUNCTION("IMPORTRANGE(""https://docs.google.com/spreadsheets/d/1SX6NBoVAgQJ6U1MVXOaj8PK2l7WJ3RER9xtqwdhxkhw/edit?usp=sharing"",""ฉะเชิงเทรา!I164"")"),0)</f>
        <v>0</v>
      </c>
      <c r="J374" s="189">
        <f ca="1">IFERROR(__xludf.DUMMYFUNCTION("IMPORTRANGE(""https://docs.google.com/spreadsheets/d/1SX6NBoVAgQJ6U1MVXOaj8PK2l7WJ3RER9xtqwdhxkhw/edit?usp=sharing"",""ฉะเชิงเทรา!J164"")"),0)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IFERROR(__xludf.DUMMYFUNCTION("IMPORTRANGE(""https://docs.google.com/spreadsheets/d/1SX6NBoVAgQJ6U1MVXOaj8PK2l7WJ3RER9xtqwdhxkhw/edit?usp=sharing"",""ฉะเชิงเทรา!I270"")"),64)</f>
        <v>64</v>
      </c>
      <c r="J375" s="189">
        <f ca="1">IFERROR(__xludf.DUMMYFUNCTION("IMPORTRANGE(""https://docs.google.com/spreadsheets/d/1SX6NBoVAgQJ6U1MVXOaj8PK2l7WJ3RER9xtqwdhxkhw/edit?usp=sharing"",""ฉะเชิงเทรา!J270"")"),64)</f>
        <v>64</v>
      </c>
      <c r="K375" s="165">
        <f t="shared" ref="K375:K377" ca="1" si="107">IF(I375&gt;0,J375*100/I375,0)</f>
        <v>100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IFERROR(__xludf.DUMMYFUNCTION("IMPORTRANGE(""https://docs.google.com/spreadsheets/d/1SX6NBoVAgQJ6U1MVXOaj8PK2l7WJ3RER9xtqwdhxkhw/edit?usp=sharing"",""ฉะเชิงเทรา!I271"")"),20)</f>
        <v>20</v>
      </c>
      <c r="J376" s="190">
        <f ca="1">IFERROR(__xludf.DUMMYFUNCTION("IMPORTRANGE(""https://docs.google.com/spreadsheets/d/1SX6NBoVAgQJ6U1MVXOaj8PK2l7WJ3RER9xtqwdhxkhw/edit?usp=sharing"",""ฉะเชิงเทรา!J271"")"),20)</f>
        <v>20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IFERROR(__xludf.DUMMYFUNCTION("IMPORTRANGE(""https://docs.google.com/spreadsheets/d/1SX6NBoVAgQJ6U1MVXOaj8PK2l7WJ3RER9xtqwdhxkhw/edit?usp=sharing"",""ฉะเชิงเทรา!I272"")"),44)</f>
        <v>44</v>
      </c>
      <c r="J377" s="205">
        <f ca="1">IFERROR(__xludf.DUMMYFUNCTION("IMPORTRANGE(""https://docs.google.com/spreadsheets/d/1SX6NBoVAgQJ6U1MVXOaj8PK2l7WJ3RER9xtqwdhxkhw/edit?usp=sharing"",""ฉะเชิงเทรา!J272"")"),44)</f>
        <v>44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IFERROR(__xludf.DUMMYFUNCTION("IMPORTRANGE(""https://docs.google.com/spreadsheets/d/1SX6NBoVAgQJ6U1MVXOaj8PK2l7WJ3RER9xtqwdhxkhw/edit?usp=sharing"",""ฉะเชิงเทรา!J273"")"),0)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IFERROR(__xludf.DUMMYFUNCTION("IMPORTRANGE(""https://docs.google.com/spreadsheets/d/1SX6NBoVAgQJ6U1MVXOaj8PK2l7WJ3RER9xtqwdhxkhw/edit?usp=sharing"",""ฉะเชิงเทรา!J274"")"),0)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IFERROR(__xludf.DUMMYFUNCTION("IMPORTRANGE(""https://docs.google.com/spreadsheets/d/1SX6NBoVAgQJ6U1MVXOaj8PK2l7WJ3RER9xtqwdhxkhw/edit?usp=sharing"",""ฉะเชิงเทรา!M275"")"),255856.68)</f>
        <v>255856.68</v>
      </c>
      <c r="O380" s="373">
        <f ca="1">+IF(L380&gt;0,N380*100/L380,0)</f>
        <v>24.876198809940497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IFERROR(__xludf.DUMMYFUNCTION("IMPORTRANGE(""https://docs.google.com/spreadsheets/d/1SX6NBoVAgQJ6U1MVXOaj8PK2l7WJ3RER9xtqwdhxkhw/edit?usp=sharing"",""ฉะเชิงเทรา!L277"")"),0)</f>
        <v>0</v>
      </c>
      <c r="M382" s="166"/>
      <c r="N382" s="166">
        <f ca="1">IFERROR(__xludf.DUMMYFUNCTION("IMPORTRANGE(""https://docs.google.com/spreadsheets/d/1SX6NBoVAgQJ6U1MVXOaj8PK2l7WJ3RER9xtqwdhxkhw/edit?usp=sharing"",""ฉะเชิงเทรา!M277"")"),0)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IFERROR(__xludf.DUMMYFUNCTION("IMPORTRANGE(""https://docs.google.com/spreadsheets/d/1SX6NBoVAgQJ6U1MVXOaj8PK2l7WJ3RER9xtqwdhxkhw/edit?usp=sharing"",""ฉะเชิงเทรา!M278"")"),255856.68)</f>
        <v>255856.68</v>
      </c>
      <c r="O383" s="167">
        <f t="shared" ca="1" si="109"/>
        <v>24.876198809940497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IFERROR(__xludf.DUMMYFUNCTION("IMPORTRANGE(""https://docs.google.com/spreadsheets/d/1SX6NBoVAgQJ6U1MVXOaj8PK2l7WJ3RER9xtqwdhxkhw/edit?usp=sharing"",""ฉะเชิงเทรา!L279"")"),0)</f>
        <v>0</v>
      </c>
      <c r="M384" s="170"/>
      <c r="N384" s="170">
        <f ca="1">IFERROR(__xludf.DUMMYFUNCTION("IMPORTRANGE(""https://docs.google.com/spreadsheets/d/1SX6NBoVAgQJ6U1MVXOaj8PK2l7WJ3RER9xtqwdhxkhw/edit?usp=sharing"",""ฉะเชิงเทรา!M279"")"),0)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70"/>
      <c r="N385" s="169">
        <f ca="1">IFERROR(__xludf.DUMMYFUNCTION("IMPORTRANGE(""https://docs.google.com/spreadsheets/d/1SX6NBoVAgQJ6U1MVXOaj8PK2l7WJ3RER9xtqwdhxkhw/edit?usp=sharing"",""ฉะเชิงเทรา!M280"")"),255856.68)</f>
        <v>255856.68</v>
      </c>
      <c r="O385" s="170">
        <f t="shared" ca="1" si="109"/>
        <v>24.876198809940497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IFERROR(__xludf.DUMMYFUNCTION("IMPORTRANGE(""https://docs.google.com/spreadsheets/d/1SX6NBoVAgQJ6U1MVXOaj8PK2l7WJ3RER9xtqwdhxkhw/edit?usp=sharing"",""ฉะเชิงเทรา!M281"")"),196650)</f>
        <v>196650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IFERROR(__xludf.DUMMYFUNCTION("IMPORTRANGE(""https://docs.google.com/spreadsheets/d/1SX6NBoVAgQJ6U1MVXOaj8PK2l7WJ3RER9xtqwdhxkhw/edit?usp=sharing"",""ฉะเชิงเทรา!M282"")"),0)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IFERROR(__xludf.DUMMYFUNCTION("IMPORTRANGE(""https://docs.google.com/spreadsheets/d/1SX6NBoVAgQJ6U1MVXOaj8PK2l7WJ3RER9xtqwdhxkhw/edit?usp=sharing"",""ฉะเชิงเทรา!M283"")"),43266.68)</f>
        <v>43266.68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IFERROR(__xludf.DUMMYFUNCTION("IMPORTRANGE(""https://docs.google.com/spreadsheets/d/1SX6NBoVAgQJ6U1MVXOaj8PK2l7WJ3RER9xtqwdhxkhw/edit?usp=sharing"",""ฉะเชิงเทรา!M284"")"),15940)</f>
        <v>15940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IFERROR(__xludf.DUMMYFUNCTION("IMPORTRANGE(""https://docs.google.com/spreadsheets/d/1SX6NBoVAgQJ6U1MVXOaj8PK2l7WJ3RER9xtqwdhxkhw/edit?usp=sharing"",""ฉะเชิงเทรา!J286"")"),0)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IFERROR(__xludf.DUMMYFUNCTION("IMPORTRANGE(""https://docs.google.com/spreadsheets/d/1SX6NBoVAgQJ6U1MVXOaj8PK2l7WJ3RER9xtqwdhxkhw/edit?usp=sharing"",""ฉะเชิงเทรา!J287"")"),1)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IFERROR(__xludf.DUMMYFUNCTION("IMPORTRANGE(""https://docs.google.com/spreadsheets/d/1SX6NBoVAgQJ6U1MVXOaj8PK2l7WJ3RER9xtqwdhxkhw/edit?usp=sharing"",""ฉะเชิงเทรา!J288"")"),1)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IFERROR(__xludf.DUMMYFUNCTION("IMPORTRANGE(""https://docs.google.com/spreadsheets/d/1SX6NBoVAgQJ6U1MVXOaj8PK2l7WJ3RER9xtqwdhxkhw/edit?usp=sharing"",""ฉะเชิงเทรา!J289"")"),1)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IFERROR(__xludf.DUMMYFUNCTION("IMPORTRANGE(""https://docs.google.com/spreadsheets/d/1SX6NBoVAgQJ6U1MVXOaj8PK2l7WJ3RER9xtqwdhxkhw/edit?usp=sharing"",""ฉะเชิงเทรา!I291"")"),100)</f>
        <v>100</v>
      </c>
      <c r="J396" s="199">
        <f ca="1">IFERROR(__xludf.DUMMYFUNCTION("IMPORTRANGE(""https://docs.google.com/spreadsheets/d/1SX6NBoVAgQJ6U1MVXOaj8PK2l7WJ3RER9xtqwdhxkhw/edit?usp=sharing"",""ฉะเชิงเทรา!J291"")"),100)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IFERROR(__xludf.DUMMYFUNCTION("IMPORTRANGE(""https://docs.google.com/spreadsheets/d/1SX6NBoVAgQJ6U1MVXOaj8PK2l7WJ3RER9xtqwdhxkhw/edit?usp=sharing"",""ฉะเชิงเทรา!I292"")"),1000)</f>
        <v>1000</v>
      </c>
      <c r="J397" s="199">
        <f ca="1">IFERROR(__xludf.DUMMYFUNCTION("IMPORTRANGE(""https://docs.google.com/spreadsheets/d/1SX6NBoVAgQJ6U1MVXOaj8PK2l7WJ3RER9xtqwdhxkhw/edit?usp=sharing"",""ฉะเชิงเทรา!J292"")"),1000)</f>
        <v>1000</v>
      </c>
      <c r="K397" s="165">
        <f t="shared" ca="1" si="110"/>
        <v>100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IFERROR(__xludf.DUMMYFUNCTION("IMPORTRANGE(""https://docs.google.com/spreadsheets/d/1SX6NBoVAgQJ6U1MVXOaj8PK2l7WJ3RER9xtqwdhxkhw/edit?usp=sharing"",""ฉะเชิงเทรา!I293"")"),100)</f>
        <v>100</v>
      </c>
      <c r="J398" s="199">
        <f ca="1">IFERROR(__xludf.DUMMYFUNCTION("IMPORTRANGE(""https://docs.google.com/spreadsheets/d/1SX6NBoVAgQJ6U1MVXOaj8PK2l7WJ3RER9xtqwdhxkhw/edit?usp=sharing"",""ฉะเชิงเทรา!J293"")"),100)</f>
        <v>100</v>
      </c>
      <c r="K398" s="165">
        <f t="shared" ca="1" si="110"/>
        <v>100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IFERROR(__xludf.DUMMYFUNCTION("IMPORTRANGE(""https://docs.google.com/spreadsheets/d/1SX6NBoVAgQJ6U1MVXOaj8PK2l7WJ3RER9xtqwdhxkhw/edit?usp=sharing"",""ฉะเชิงเทรา!J294"")"),0)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IFERROR(__xludf.DUMMYFUNCTION("IMPORTRANGE(""https://docs.google.com/spreadsheets/d/1SX6NBoVAgQJ6U1MVXOaj8PK2l7WJ3RER9xtqwdhxkhw/edit?usp=sharing"",""ฉะเชิงเทรา!J295"")"),0)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IFERROR(__xludf.DUMMYFUNCTION("IMPORTRANGE(""https://docs.google.com/spreadsheets/d/1SX6NBoVAgQJ6U1MVXOaj8PK2l7WJ3RER9xtqwdhxkhw/edit?usp=sharing"",""ฉะเชิงเทรา!M296"")"),239750)</f>
        <v>239750</v>
      </c>
      <c r="O401" s="373">
        <f ca="1">+IF(L401&gt;0,N401*100/L401,0)</f>
        <v>89.619467703349287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IFERROR(__xludf.DUMMYFUNCTION("IMPORTRANGE(""https://docs.google.com/spreadsheets/d/1SX6NBoVAgQJ6U1MVXOaj8PK2l7WJ3RER9xtqwdhxkhw/edit?usp=sharing"",""ฉะเชิงเทรา!L298"")"),0)</f>
        <v>0</v>
      </c>
      <c r="M403" s="166"/>
      <c r="N403" s="170">
        <f ca="1">IFERROR(__xludf.DUMMYFUNCTION("IMPORTRANGE(""https://docs.google.com/spreadsheets/d/1SX6NBoVAgQJ6U1MVXOaj8PK2l7WJ3RER9xtqwdhxkhw/edit?usp=sharing"",""ฉะเชิงเทรา!M298"")"),0)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7"/>
      <c r="N404" s="170">
        <f ca="1">IFERROR(__xludf.DUMMYFUNCTION("IMPORTRANGE(""https://docs.google.com/spreadsheets/d/1SX6NBoVAgQJ6U1MVXOaj8PK2l7WJ3RER9xtqwdhxkhw/edit?usp=sharing"",""ฉะเชิงเทรา!M299"")"),239750)</f>
        <v>239750</v>
      </c>
      <c r="O404" s="170">
        <f t="shared" ca="1" si="112"/>
        <v>89.619467703349287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IFERROR(__xludf.DUMMYFUNCTION("IMPORTRANGE(""https://docs.google.com/spreadsheets/d/1SX6NBoVAgQJ6U1MVXOaj8PK2l7WJ3RER9xtqwdhxkhw/edit?usp=sharing"",""ฉะเชิงเทรา!L300"")"),0)</f>
        <v>0</v>
      </c>
      <c r="M405" s="170"/>
      <c r="N405" s="170">
        <f ca="1">IFERROR(__xludf.DUMMYFUNCTION("IMPORTRANGE(""https://docs.google.com/spreadsheets/d/1SX6NBoVAgQJ6U1MVXOaj8PK2l7WJ3RER9xtqwdhxkhw/edit?usp=sharing"",""ฉะเชิงเทรา!M300"")"),0)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IFERROR(__xludf.DUMMYFUNCTION("IMPORTRANGE(""https://docs.google.com/spreadsheets/d/1SX6NBoVAgQJ6U1MVXOaj8PK2l7WJ3RER9xtqwdhxkhw/edit?usp=sharing"",""ฉะเชิงเทรา!L301"")"),267520)</f>
        <v>267520</v>
      </c>
      <c r="M406" s="170"/>
      <c r="N406" s="170">
        <f ca="1">IFERROR(__xludf.DUMMYFUNCTION("IMPORTRANGE(""https://docs.google.com/spreadsheets/d/1SX6NBoVAgQJ6U1MVXOaj8PK2l7WJ3RER9xtqwdhxkhw/edit?usp=sharing"",""ฉะเชิงเทรา!M301"")"),239750)</f>
        <v>239750</v>
      </c>
      <c r="O406" s="170">
        <f t="shared" ca="1" si="112"/>
        <v>89.619467703349287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IFERROR(__xludf.DUMMYFUNCTION("IMPORTRANGE(""https://docs.google.com/spreadsheets/d/1SX6NBoVAgQJ6U1MVXOaj8PK2l7WJ3RER9xtqwdhxkhw/edit?usp=sharing"",""ฉะเชิงเทรา!M302"")"),152050)</f>
        <v>152050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IFERROR(__xludf.DUMMYFUNCTION("IMPORTRANGE(""https://docs.google.com/spreadsheets/d/1SX6NBoVAgQJ6U1MVXOaj8PK2l7WJ3RER9xtqwdhxkhw/edit?usp=sharing"",""ฉะเชิงเทรา!M305"")"),14700)</f>
        <v>14700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IFERROR(__xludf.DUMMYFUNCTION("IMPORTRANGE(""https://docs.google.com/spreadsheets/d/1SX6NBoVAgQJ6U1MVXOaj8PK2l7WJ3RER9xtqwdhxkhw/edit?usp=sharing"",""ฉะเชิงเทรา!J307"")"),0)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IFERROR(__xludf.DUMMYFUNCTION("IMPORTRANGE(""https://docs.google.com/spreadsheets/d/1SX6NBoVAgQJ6U1MVXOaj8PK2l7WJ3RER9xtqwdhxkhw/edit?usp=sharing"",""ฉะเชิงเทรา!J308"")"),1)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IFERROR(__xludf.DUMMYFUNCTION("IMPORTRANGE(""https://docs.google.com/spreadsheets/d/1SX6NBoVAgQJ6U1MVXOaj8PK2l7WJ3RER9xtqwdhxkhw/edit?usp=sharing"",""ฉะเชิงเทรา!J309"")"),1)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IFERROR(__xludf.DUMMYFUNCTION("IMPORTRANGE(""https://docs.google.com/spreadsheets/d/1SX6NBoVAgQJ6U1MVXOaj8PK2l7WJ3RER9xtqwdhxkhw/edit?usp=sharing"",""ฉะเชิงเทรา!J310"")"),1)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IFERROR(__xludf.DUMMYFUNCTION("IMPORTRANGE(""https://docs.google.com/spreadsheets/d/1SX6NBoVAgQJ6U1MVXOaj8PK2l7WJ3RER9xtqwdhxkhw/edit?usp=sharing"",""ฉะเชิงเทรา!I311"")"),80)</f>
        <v>80</v>
      </c>
      <c r="J416" s="202">
        <f ca="1">IFERROR(__xludf.DUMMYFUNCTION("IMPORTRANGE(""https://docs.google.com/spreadsheets/d/1SX6NBoVAgQJ6U1MVXOaj8PK2l7WJ3RER9xtqwdhxkhw/edit?usp=sharing"",""ฉะเชิงเทรา!J311"")"),80)</f>
        <v>80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IFERROR(__xludf.DUMMYFUNCTION("IMPORTRANGE(""https://docs.google.com/spreadsheets/d/1SX6NBoVAgQJ6U1MVXOaj8PK2l7WJ3RER9xtqwdhxkhw/edit?usp=sharing"",""ฉะเชิงเทรา!J328"")"),0)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IFERROR(__xludf.DUMMYFUNCTION("IMPORTRANGE(""https://docs.google.com/spreadsheets/d/1SX6NBoVAgQJ6U1MVXOaj8PK2l7WJ3RER9xtqwdhxkhw/edit?usp=sharing"",""ฉะเชิงเทรา!J329"")"),0)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IFERROR(__xludf.DUMMYFUNCTION("IMPORTRANGE(""https://docs.google.com/spreadsheets/d/1SX6NBoVAgQJ6U1MVXOaj8PK2l7WJ3RER9xtqwdhxkhw/edit?usp=sharing"",""ฉะเชิงเทรา!M330"")"),149090)</f>
        <v>149090</v>
      </c>
      <c r="O435" s="412">
        <f t="shared" ref="O435:O439" ca="1" si="114">+IF(L435&gt;0,N435*100/L435,0)</f>
        <v>81.027173913043484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IFERROR(__xludf.DUMMYFUNCTION("IMPORTRANGE(""https://docs.google.com/spreadsheets/d/1SX6NBoVAgQJ6U1MVXOaj8PK2l7WJ3RER9xtqwdhxkhw/edit?usp=sharing"",""ฉะเชิงเทรา!L331"")"),0)</f>
        <v>0</v>
      </c>
      <c r="M436" s="166"/>
      <c r="N436" s="170">
        <f ca="1">IFERROR(__xludf.DUMMYFUNCTION("IMPORTRANGE(""https://docs.google.com/spreadsheets/d/1SX6NBoVAgQJ6U1MVXOaj8PK2l7WJ3RER9xtqwdhxkhw/edit?usp=sharing"",""ฉะเชิงเทรา!M331"")"),0)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7"/>
      <c r="N437" s="170">
        <f ca="1">IFERROR(__xludf.DUMMYFUNCTION("IMPORTRANGE(""https://docs.google.com/spreadsheets/d/1SX6NBoVAgQJ6U1MVXOaj8PK2l7WJ3RER9xtqwdhxkhw/edit?usp=sharing"",""ฉะเชิงเทรา!M332"")"),149090)</f>
        <v>149090</v>
      </c>
      <c r="O437" s="170">
        <f t="shared" ca="1" si="114"/>
        <v>81.027173913043484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IFERROR(__xludf.DUMMYFUNCTION("IMPORTRANGE(""https://docs.google.com/spreadsheets/d/1SX6NBoVAgQJ6U1MVXOaj8PK2l7WJ3RER9xtqwdhxkhw/edit?usp=sharing"",""ฉะเชิงเทรา!L333"")"),0)</f>
        <v>0</v>
      </c>
      <c r="M438" s="170"/>
      <c r="N438" s="170">
        <f ca="1">IFERROR(__xludf.DUMMYFUNCTION("IMPORTRANGE(""https://docs.google.com/spreadsheets/d/1SX6NBoVAgQJ6U1MVXOaj8PK2l7WJ3RER9xtqwdhxkhw/edit?usp=sharing"",""ฉะเชิงเทรา!M333"")"),0)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IFERROR(__xludf.DUMMYFUNCTION("IMPORTRANGE(""https://docs.google.com/spreadsheets/d/1SX6NBoVAgQJ6U1MVXOaj8PK2l7WJ3RER9xtqwdhxkhw/edit?usp=sharing"",""ฉะเชิงเทรา!L334"")"),184000)</f>
        <v>184000</v>
      </c>
      <c r="M439" s="170"/>
      <c r="N439" s="170">
        <f ca="1">IFERROR(__xludf.DUMMYFUNCTION("IMPORTRANGE(""https://docs.google.com/spreadsheets/d/1SX6NBoVAgQJ6U1MVXOaj8PK2l7WJ3RER9xtqwdhxkhw/edit?usp=sharing"",""ฉะเชิงเทรา!M334"")"),149090)</f>
        <v>149090</v>
      </c>
      <c r="O439" s="170">
        <f t="shared" ca="1" si="114"/>
        <v>81.027173913043484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IFERROR(__xludf.DUMMYFUNCTION("IMPORTRANGE(""https://docs.google.com/spreadsheets/d/1SX6NBoVAgQJ6U1MVXOaj8PK2l7WJ3RER9xtqwdhxkhw/edit?usp=sharing"",""ฉะเชิงเทรา!M338"")"),15890)</f>
        <v>15890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IFERROR(__xludf.DUMMYFUNCTION("IMPORTRANGE(""https://docs.google.com/spreadsheets/d/1SX6NBoVAgQJ6U1MVXOaj8PK2l7WJ3RER9xtqwdhxkhw/edit?usp=sharing"",""ฉะเชิงเทรา!J342"")"),1)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IFERROR(__xludf.DUMMYFUNCTION("IMPORTRANGE(""https://docs.google.com/spreadsheets/d/1SX6NBoVAgQJ6U1MVXOaj8PK2l7WJ3RER9xtqwdhxkhw/edit?usp=sharing"",""ฉะเชิงเทรา!J343"")"),1)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2">
        <f ca="1">IFERROR(__xludf.DUMMYFUNCTION("IMPORTRANGE(""https://docs.google.com/spreadsheets/d/1SX6NBoVAgQJ6U1MVXOaj8PK2l7WJ3RER9xtqwdhxkhw/edit?usp=sharing"",""ฉะเชิงเทรา!J344"")"),60)</f>
        <v>60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IFERROR(__xludf.DUMMYFUNCTION("IMPORTRANGE(""https://docs.google.com/spreadsheets/d/1SX6NBoVAgQJ6U1MVXOaj8PK2l7WJ3RER9xtqwdhxkhw/edit?usp=sharing"",""ฉะเชิงเทรา!I345"")"),40)</f>
        <v>40</v>
      </c>
      <c r="J450" s="190">
        <f ca="1">IFERROR(__xludf.DUMMYFUNCTION("IMPORTRANGE(""https://docs.google.com/spreadsheets/d/1SX6NBoVAgQJ6U1MVXOaj8PK2l7WJ3RER9xtqwdhxkhw/edit?usp=sharing"",""ฉะเชิงเทรา!J345"")"),40)</f>
        <v>40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IFERROR(__xludf.DUMMYFUNCTION("IMPORTRANGE(""https://docs.google.com/spreadsheets/d/1SX6NBoVAgQJ6U1MVXOaj8PK2l7WJ3RER9xtqwdhxkhw/edit?usp=sharing"",""ฉะเชิงเทรา!I346"")"),20)</f>
        <v>20</v>
      </c>
      <c r="J451" s="189">
        <f ca="1">IFERROR(__xludf.DUMMYFUNCTION("IMPORTRANGE(""https://docs.google.com/spreadsheets/d/1SX6NBoVAgQJ6U1MVXOaj8PK2l7WJ3RER9xtqwdhxkhw/edit?usp=sharing"",""ฉะเชิงเทรา!J346"")"),20)</f>
        <v>20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IFERROR(__xludf.DUMMYFUNCTION("IMPORTRANGE(""https://docs.google.com/spreadsheets/d/1SX6NBoVAgQJ6U1MVXOaj8PK2l7WJ3RER9xtqwdhxkhw/edit?usp=sharing"",""ฉะเชิงเทรา!I347"")"),0)</f>
        <v>0</v>
      </c>
      <c r="J452" s="189">
        <f ca="1">IFERROR(__xludf.DUMMYFUNCTION("IMPORTRANGE(""https://docs.google.com/spreadsheets/d/1SX6NBoVAgQJ6U1MVXOaj8PK2l7WJ3RER9xtqwdhxkhw/edit?usp=sharing"",""ฉะเชิงเทรา!J347"")"),0)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IFERROR(__xludf.DUMMYFUNCTION("IMPORTRANGE(""https://docs.google.com/spreadsheets/d/1SX6NBoVAgQJ6U1MVXOaj8PK2l7WJ3RER9xtqwdhxkhw/edit?usp=sharing"",""ฉะเชิงเทรา!J348"")"),0)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IFERROR(__xludf.DUMMYFUNCTION("IMPORTRANGE(""https://docs.google.com/spreadsheets/d/1SX6NBoVAgQJ6U1MVXOaj8PK2l7WJ3RER9xtqwdhxkhw/edit?usp=sharing"",""ฉะเชิงเทรา!J349"")"),0)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IFERROR(__xludf.DUMMYFUNCTION("IMPORTRANGE(""https://docs.google.com/spreadsheets/d/1SX6NBoVAgQJ6U1MVXOaj8PK2l7WJ3RER9xtqwdhxkhw/edit?usp=sharing"",""ฉะเชิงเทรา!L350"")"),369379)</f>
        <v>369379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IFERROR(__xludf.DUMMYFUNCTION("IMPORTRANGE(""https://docs.google.com/spreadsheets/d/1SX6NBoVAgQJ6U1MVXOaj8PK2l7WJ3RER9xtqwdhxkhw/edit?usp=sharing"",""ฉะเชิงเทรา!M350"")"),3360)</f>
        <v>3360</v>
      </c>
      <c r="O455" s="373">
        <f t="shared" ref="O455:O459" ca="1" si="116">+IF(L455&gt;0,N455*100/L455,0)</f>
        <v>0.90963481952141301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IFERROR(__xludf.DUMMYFUNCTION("IMPORTRANGE(""https://docs.google.com/spreadsheets/d/1SX6NBoVAgQJ6U1MVXOaj8PK2l7WJ3RER9xtqwdhxkhw/edit?usp=sharing"",""ฉะเชิงเทรา!L351"")"),0)</f>
        <v>0</v>
      </c>
      <c r="M456" s="166"/>
      <c r="N456" s="170">
        <f ca="1">IFERROR(__xludf.DUMMYFUNCTION("IMPORTRANGE(""https://docs.google.com/spreadsheets/d/1SX6NBoVAgQJ6U1MVXOaj8PK2l7WJ3RER9xtqwdhxkhw/edit?usp=sharing"",""ฉะเชิงเทรา!M351"")"),0)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IFERROR(__xludf.DUMMYFUNCTION("IMPORTRANGE(""https://docs.google.com/spreadsheets/d/1SX6NBoVAgQJ6U1MVXOaj8PK2l7WJ3RER9xtqwdhxkhw/edit?usp=sharing"",""ฉะเชิงเทรา!L352"")"),369379)</f>
        <v>369379</v>
      </c>
      <c r="M457" s="167"/>
      <c r="N457" s="170">
        <f ca="1">IFERROR(__xludf.DUMMYFUNCTION("IMPORTRANGE(""https://docs.google.com/spreadsheets/d/1SX6NBoVAgQJ6U1MVXOaj8PK2l7WJ3RER9xtqwdhxkhw/edit?usp=sharing"",""ฉะเชิงเทรา!M352"")"),3360)</f>
        <v>3360</v>
      </c>
      <c r="O457" s="170">
        <f t="shared" ca="1" si="116"/>
        <v>0.90963481952141301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IFERROR(__xludf.DUMMYFUNCTION("IMPORTRANGE(""https://docs.google.com/spreadsheets/d/1SX6NBoVAgQJ6U1MVXOaj8PK2l7WJ3RER9xtqwdhxkhw/edit?usp=sharing"",""ฉะเชิงเทรา!L353"")"),0)</f>
        <v>0</v>
      </c>
      <c r="M458" s="170"/>
      <c r="N458" s="170">
        <f ca="1">IFERROR(__xludf.DUMMYFUNCTION("IMPORTRANGE(""https://docs.google.com/spreadsheets/d/1SX6NBoVAgQJ6U1MVXOaj8PK2l7WJ3RER9xtqwdhxkhw/edit?usp=sharing"",""ฉะเชิงเทรา!M353"")"),0)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IFERROR(__xludf.DUMMYFUNCTION("IMPORTRANGE(""https://docs.google.com/spreadsheets/d/1SX6NBoVAgQJ6U1MVXOaj8PK2l7WJ3RER9xtqwdhxkhw/edit?usp=sharing"",""ฉะเชิงเทรา!L354"")"),369379)</f>
        <v>369379</v>
      </c>
      <c r="M459" s="170"/>
      <c r="N459" s="170">
        <f ca="1">IFERROR(__xludf.DUMMYFUNCTION("IMPORTRANGE(""https://docs.google.com/spreadsheets/d/1SX6NBoVAgQJ6U1MVXOaj8PK2l7WJ3RER9xtqwdhxkhw/edit?usp=sharing"",""ฉะเชิงเทรา!M354"")"),3360)</f>
        <v>3360</v>
      </c>
      <c r="O459" s="170">
        <f t="shared" ca="1" si="116"/>
        <v>0.90963481952141301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IFERROR(__xludf.DUMMYFUNCTION("IMPORTRANGE(""https://docs.google.com/spreadsheets/d/1SX6NBoVAgQJ6U1MVXOaj8PK2l7WJ3RER9xtqwdhxkhw/edit?usp=sharing"",""ฉะเชิงเทรา!M355"")"),0)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IFERROR(__xludf.DUMMYFUNCTION("IMPORTRANGE(""https://docs.google.com/spreadsheets/d/1SX6NBoVAgQJ6U1MVXOaj8PK2l7WJ3RER9xtqwdhxkhw/edit?usp=sharing"",""ฉะเชิงเทรา!M356"")"),0)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IFERROR(__xludf.DUMMYFUNCTION("IMPORTRANGE(""https://docs.google.com/spreadsheets/d/1SX6NBoVAgQJ6U1MVXOaj8PK2l7WJ3RER9xtqwdhxkhw/edit?usp=sharing"",""ฉะเชิงเทรา!M358"")"),3360)</f>
        <v>3360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IFERROR(__xludf.DUMMYFUNCTION("IMPORTRANGE(""https://docs.google.com/spreadsheets/d/1SX6NBoVAgQJ6U1MVXOaj8PK2l7WJ3RER9xtqwdhxkhw/edit?usp=sharing"",""ฉะเชิงเทรา!J360"")"),14799.83)</f>
        <v>14799.83</v>
      </c>
      <c r="K465" s="203">
        <f t="shared" ca="1" si="117"/>
        <v>59.432294594811658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IFERROR(__xludf.DUMMYFUNCTION("IMPORTRANGE(""https://docs.google.com/spreadsheets/d/1SX6NBoVAgQJ6U1MVXOaj8PK2l7WJ3RER9xtqwdhxkhw/edit?usp=sharing"",""ฉะเชิงเทรา!J361"")"),1131)</f>
        <v>1131</v>
      </c>
      <c r="K466" s="203">
        <f t="shared" ca="1" si="117"/>
        <v>47.782002534854243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IFERROR(__xludf.DUMMYFUNCTION("IMPORTRANGE(""https://docs.google.com/spreadsheets/d/1SX6NBoVAgQJ6U1MVXOaj8PK2l7WJ3RER9xtqwdhxkhw/edit?usp=sharing"",""ฉะเชิงเทรา!I362"")"),0)</f>
        <v>0</v>
      </c>
      <c r="J467" s="190">
        <f ca="1">IFERROR(__xludf.DUMMYFUNCTION("IMPORTRANGE(""https://docs.google.com/spreadsheets/d/1SX6NBoVAgQJ6U1MVXOaj8PK2l7WJ3RER9xtqwdhxkhw/edit?usp=sharing"",""ฉะเชิงเทรา!J362"")"),12034)</f>
        <v>12034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IFERROR(__xludf.DUMMYFUNCTION("IMPORTRANGE(""https://docs.google.com/spreadsheets/d/1SX6NBoVAgQJ6U1MVXOaj8PK2l7WJ3RER9xtqwdhxkhw/edit?usp=sharing"",""ฉะเชิงเทรา!I363"")"),0)</f>
        <v>0</v>
      </c>
      <c r="J468" s="190">
        <f ca="1">IFERROR(__xludf.DUMMYFUNCTION("IMPORTRANGE(""https://docs.google.com/spreadsheets/d/1SX6NBoVAgQJ6U1MVXOaj8PK2l7WJ3RER9xtqwdhxkhw/edit?usp=sharing"",""ฉะเชิงเทรา!J363"")"),918)</f>
        <v>918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IFERROR(__xludf.DUMMYFUNCTION("IMPORTRANGE(""https://docs.google.com/spreadsheets/d/1SX6NBoVAgQJ6U1MVXOaj8PK2l7WJ3RER9xtqwdhxkhw/edit?usp=sharing"",""ฉะเชิงเทรา!I364"")"),0)</f>
        <v>0</v>
      </c>
      <c r="J469" s="190">
        <f ca="1">IFERROR(__xludf.DUMMYFUNCTION("IMPORTRANGE(""https://docs.google.com/spreadsheets/d/1SX6NBoVAgQJ6U1MVXOaj8PK2l7WJ3RER9xtqwdhxkhw/edit?usp=sharing"",""ฉะเชิงเทรา!J364"")"),950.83)</f>
        <v>950.83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IFERROR(__xludf.DUMMYFUNCTION("IMPORTRANGE(""https://docs.google.com/spreadsheets/d/1SX6NBoVAgQJ6U1MVXOaj8PK2l7WJ3RER9xtqwdhxkhw/edit?usp=sharing"",""ฉะเชิงเทรา!I365"")"),0)</f>
        <v>0</v>
      </c>
      <c r="J470" s="190">
        <f ca="1">IFERROR(__xludf.DUMMYFUNCTION("IMPORTRANGE(""https://docs.google.com/spreadsheets/d/1SX6NBoVAgQJ6U1MVXOaj8PK2l7WJ3RER9xtqwdhxkhw/edit?usp=sharing"",""ฉะเชิงเทรา!J365"")"),98)</f>
        <v>98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IFERROR(__xludf.DUMMYFUNCTION("IMPORTRANGE(""https://docs.google.com/spreadsheets/d/1SX6NBoVAgQJ6U1MVXOaj8PK2l7WJ3RER9xtqwdhxkhw/edit?usp=sharing"",""ฉะเชิงเทรา!I366"")"),0)</f>
        <v>0</v>
      </c>
      <c r="J471" s="190">
        <f ca="1">IFERROR(__xludf.DUMMYFUNCTION("IMPORTRANGE(""https://docs.google.com/spreadsheets/d/1SX6NBoVAgQJ6U1MVXOaj8PK2l7WJ3RER9xtqwdhxkhw/edit?usp=sharing"",""ฉะเชิงเทรา!J366"")"),1815)</f>
        <v>1815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IFERROR(__xludf.DUMMYFUNCTION("IMPORTRANGE(""https://docs.google.com/spreadsheets/d/1SX6NBoVAgQJ6U1MVXOaj8PK2l7WJ3RER9xtqwdhxkhw/edit?usp=sharing"",""ฉะเชิงเทรา!I367"")"),0)</f>
        <v>0</v>
      </c>
      <c r="J472" s="190">
        <f ca="1">IFERROR(__xludf.DUMMYFUNCTION("IMPORTRANGE(""https://docs.google.com/spreadsheets/d/1SX6NBoVAgQJ6U1MVXOaj8PK2l7WJ3RER9xtqwdhxkhw/edit?usp=sharing"",""ฉะเชิงเทรา!J367"")"),115)</f>
        <v>115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IFERROR(__xludf.DUMMYFUNCTION("IMPORTRANGE(""https://docs.google.com/spreadsheets/d/1SX6NBoVAgQJ6U1MVXOaj8PK2l7WJ3RER9xtqwdhxkhw/edit?usp=sharing"",""ฉะเชิงเทรา!I370"")"),0)</f>
        <v>0</v>
      </c>
      <c r="J475" s="190">
        <f ca="1">IFERROR(__xludf.DUMMYFUNCTION("IMPORTRANGE(""https://docs.google.com/spreadsheets/d/1SX6NBoVAgQJ6U1MVXOaj8PK2l7WJ3RER9xtqwdhxkhw/edit?usp=sharing"",""ฉะเชิงเทรา!J370"")"),0)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IFERROR(__xludf.DUMMYFUNCTION("IMPORTRANGE(""https://docs.google.com/spreadsheets/d/1SX6NBoVAgQJ6U1MVXOaj8PK2l7WJ3RER9xtqwdhxkhw/edit?usp=sharing"",""ฉะเชิงเทรา!I371"")"),0)</f>
        <v>0</v>
      </c>
      <c r="J476" s="190">
        <f ca="1">IFERROR(__xludf.DUMMYFUNCTION("IMPORTRANGE(""https://docs.google.com/spreadsheets/d/1SX6NBoVAgQJ6U1MVXOaj8PK2l7WJ3RER9xtqwdhxkhw/edit?usp=sharing"",""ฉะเชิงเทรา!J371"")"),0)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IFERROR(__xludf.DUMMYFUNCTION("IMPORTRANGE(""https://docs.google.com/spreadsheets/d/1SX6NBoVAgQJ6U1MVXOaj8PK2l7WJ3RER9xtqwdhxkhw/edit?usp=sharing"",""ฉะเชิงเทรา!I372"")"),0)</f>
        <v>0</v>
      </c>
      <c r="J477" s="190">
        <f ca="1">IFERROR(__xludf.DUMMYFUNCTION("IMPORTRANGE(""https://docs.google.com/spreadsheets/d/1SX6NBoVAgQJ6U1MVXOaj8PK2l7WJ3RER9xtqwdhxkhw/edit?usp=sharing"",""ฉะเชิงเทรา!J372"")"),0)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IFERROR(__xludf.DUMMYFUNCTION("IMPORTRANGE(""https://docs.google.com/spreadsheets/d/1SX6NBoVAgQJ6U1MVXOaj8PK2l7WJ3RER9xtqwdhxkhw/edit?usp=sharing"",""ฉะเชิงเทรา!I373"")"),0)</f>
        <v>0</v>
      </c>
      <c r="J478" s="190">
        <f ca="1">IFERROR(__xludf.DUMMYFUNCTION("IMPORTRANGE(""https://docs.google.com/spreadsheets/d/1SX6NBoVAgQJ6U1MVXOaj8PK2l7WJ3RER9xtqwdhxkhw/edit?usp=sharing"",""ฉะเชิงเทรา!J373"")"),0)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IFERROR(__xludf.DUMMYFUNCTION("IMPORTRANGE(""https://docs.google.com/spreadsheets/d/1SX6NBoVAgQJ6U1MVXOaj8PK2l7WJ3RER9xtqwdhxkhw/edit?usp=sharing"",""ฉะเชิงเทรา!I374"")"),0)</f>
        <v>0</v>
      </c>
      <c r="J479" s="190">
        <f ca="1">IFERROR(__xludf.DUMMYFUNCTION("IMPORTRANGE(""https://docs.google.com/spreadsheets/d/1SX6NBoVAgQJ6U1MVXOaj8PK2l7WJ3RER9xtqwdhxkhw/edit?usp=sharing"",""ฉะเชิงเทรา!J374"")"),0)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IFERROR(__xludf.DUMMYFUNCTION("IMPORTRANGE(""https://docs.google.com/spreadsheets/d/1SX6NBoVAgQJ6U1MVXOaj8PK2l7WJ3RER9xtqwdhxkhw/edit?usp=sharing"",""ฉะเชิงเทรา!I375"")"),0)</f>
        <v>0</v>
      </c>
      <c r="J480" s="190">
        <f ca="1">IFERROR(__xludf.DUMMYFUNCTION("IMPORTRANGE(""https://docs.google.com/spreadsheets/d/1SX6NBoVAgQJ6U1MVXOaj8PK2l7WJ3RER9xtqwdhxkhw/edit?usp=sharing"",""ฉะเชิงเทรา!J375"")"),0)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IFERROR(__xludf.DUMMYFUNCTION("IMPORTRANGE(""https://docs.google.com/spreadsheets/d/1SX6NBoVAgQJ6U1MVXOaj8PK2l7WJ3RER9xtqwdhxkhw/edit?usp=sharing"",""ฉะเชิงเทรา!I378"")"),0)</f>
        <v>0</v>
      </c>
      <c r="J483" s="190">
        <f ca="1">IFERROR(__xludf.DUMMYFUNCTION("IMPORTRANGE(""https://docs.google.com/spreadsheets/d/1SX6NBoVAgQJ6U1MVXOaj8PK2l7WJ3RER9xtqwdhxkhw/edit?usp=sharing"",""ฉะเชิงเทรา!J378"")"),0)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IFERROR(__xludf.DUMMYFUNCTION("IMPORTRANGE(""https://docs.google.com/spreadsheets/d/1SX6NBoVAgQJ6U1MVXOaj8PK2l7WJ3RER9xtqwdhxkhw/edit?usp=sharing"",""ฉะเชิงเทรา!I379"")"),0)</f>
        <v>0</v>
      </c>
      <c r="J484" s="190">
        <f ca="1">IFERROR(__xludf.DUMMYFUNCTION("IMPORTRANGE(""https://docs.google.com/spreadsheets/d/1SX6NBoVAgQJ6U1MVXOaj8PK2l7WJ3RER9xtqwdhxkhw/edit?usp=sharing"",""ฉะเชิงเทรา!J379"")"),0)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IFERROR(__xludf.DUMMYFUNCTION("IMPORTRANGE(""https://docs.google.com/spreadsheets/d/1SX6NBoVAgQJ6U1MVXOaj8PK2l7WJ3RER9xtqwdhxkhw/edit?usp=sharing"",""ฉะเชิงเทรา!I380"")"),0)</f>
        <v>0</v>
      </c>
      <c r="J485" s="190">
        <f ca="1">IFERROR(__xludf.DUMMYFUNCTION("IMPORTRANGE(""https://docs.google.com/spreadsheets/d/1SX6NBoVAgQJ6U1MVXOaj8PK2l7WJ3RER9xtqwdhxkhw/edit?usp=sharing"",""ฉะเชิงเทรา!J380"")"),0)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IFERROR(__xludf.DUMMYFUNCTION("IMPORTRANGE(""https://docs.google.com/spreadsheets/d/1SX6NBoVAgQJ6U1MVXOaj8PK2l7WJ3RER9xtqwdhxkhw/edit?usp=sharing"",""ฉะเชิงเทรา!I381"")"),0)</f>
        <v>0</v>
      </c>
      <c r="J486" s="190">
        <f ca="1">IFERROR(__xludf.DUMMYFUNCTION("IMPORTRANGE(""https://docs.google.com/spreadsheets/d/1SX6NBoVAgQJ6U1MVXOaj8PK2l7WJ3RER9xtqwdhxkhw/edit?usp=sharing"",""ฉะเชิงเทรา!J381"")"),0)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IFERROR(__xludf.DUMMYFUNCTION("IMPORTRANGE(""https://docs.google.com/spreadsheets/d/1SX6NBoVAgQJ6U1MVXOaj8PK2l7WJ3RER9xtqwdhxkhw/edit?usp=sharing"",""ฉะเชิงเทรา!I384"")"),0)</f>
        <v>0</v>
      </c>
      <c r="J489" s="190">
        <f ca="1">IFERROR(__xludf.DUMMYFUNCTION("IMPORTRANGE(""https://docs.google.com/spreadsheets/d/1SX6NBoVAgQJ6U1MVXOaj8PK2l7WJ3RER9xtqwdhxkhw/edit?usp=sharing"",""ฉะเชิงเทรา!J384"")"),0)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IFERROR(__xludf.DUMMYFUNCTION("IMPORTRANGE(""https://docs.google.com/spreadsheets/d/1SX6NBoVAgQJ6U1MVXOaj8PK2l7WJ3RER9xtqwdhxkhw/edit?usp=sharing"",""ฉะเชิงเทรา!I385"")"),0)</f>
        <v>0</v>
      </c>
      <c r="J490" s="190">
        <f ca="1">IFERROR(__xludf.DUMMYFUNCTION("IMPORTRANGE(""https://docs.google.com/spreadsheets/d/1SX6NBoVAgQJ6U1MVXOaj8PK2l7WJ3RER9xtqwdhxkhw/edit?usp=sharing"",""ฉะเชิงเทรา!J385"")"),0)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IFERROR(__xludf.DUMMYFUNCTION("IMPORTRANGE(""https://docs.google.com/spreadsheets/d/1SX6NBoVAgQJ6U1MVXOaj8PK2l7WJ3RER9xtqwdhxkhw/edit?usp=sharing"",""ฉะเชิงเทรา!I386"")"),0)</f>
        <v>0</v>
      </c>
      <c r="J491" s="190">
        <f ca="1">IFERROR(__xludf.DUMMYFUNCTION("IMPORTRANGE(""https://docs.google.com/spreadsheets/d/1SX6NBoVAgQJ6U1MVXOaj8PK2l7WJ3RER9xtqwdhxkhw/edit?usp=sharing"",""ฉะเชิงเทรา!J386"")"),0)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IFERROR(__xludf.DUMMYFUNCTION("IMPORTRANGE(""https://docs.google.com/spreadsheets/d/1SX6NBoVAgQJ6U1MVXOaj8PK2l7WJ3RER9xtqwdhxkhw/edit?usp=sharing"",""ฉะเชิงเทรา!I387"")"),0)</f>
        <v>0</v>
      </c>
      <c r="J492" s="190">
        <f ca="1">IFERROR(__xludf.DUMMYFUNCTION("IMPORTRANGE(""https://docs.google.com/spreadsheets/d/1SX6NBoVAgQJ6U1MVXOaj8PK2l7WJ3RER9xtqwdhxkhw/edit?usp=sharing"",""ฉะเชิงเทรา!J387"")"),0)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IFERROR(__xludf.DUMMYFUNCTION("IMPORTRANGE(""https://docs.google.com/spreadsheets/d/1SX6NBoVAgQJ6U1MVXOaj8PK2l7WJ3RER9xtqwdhxkhw/edit?usp=sharing"",""ฉะเชิงเทรา!I388"")"),0)</f>
        <v>0</v>
      </c>
      <c r="J493" s="190">
        <f ca="1">IFERROR(__xludf.DUMMYFUNCTION("IMPORTRANGE(""https://docs.google.com/spreadsheets/d/1SX6NBoVAgQJ6U1MVXOaj8PK2l7WJ3RER9xtqwdhxkhw/edit?usp=sharing"",""ฉะเชิงเทรา!J388"")"),0)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IFERROR(__xludf.DUMMYFUNCTION("IMPORTRANGE(""https://docs.google.com/spreadsheets/d/1SX6NBoVAgQJ6U1MVXOaj8PK2l7WJ3RER9xtqwdhxkhw/edit?usp=sharing"",""ฉะเชิงเทรา!I395"")"),0)</f>
        <v>0</v>
      </c>
      <c r="J500" s="164">
        <f ca="1">IFERROR(__xludf.DUMMYFUNCTION("IMPORTRANGE(""https://docs.google.com/spreadsheets/d/1SX6NBoVAgQJ6U1MVXOaj8PK2l7WJ3RER9xtqwdhxkhw/edit?usp=sharing"",""ฉะเชิงเทรา!J395"")"),0)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IFERROR(__xludf.DUMMYFUNCTION("IMPORTRANGE(""https://docs.google.com/spreadsheets/d/1SX6NBoVAgQJ6U1MVXOaj8PK2l7WJ3RER9xtqwdhxkhw/edit?usp=sharing"",""ฉะเชิงเทรา!I396"")"),0)</f>
        <v>0</v>
      </c>
      <c r="J501" s="164">
        <f ca="1">IFERROR(__xludf.DUMMYFUNCTION("IMPORTRANGE(""https://docs.google.com/spreadsheets/d/1SX6NBoVAgQJ6U1MVXOaj8PK2l7WJ3RER9xtqwdhxkhw/edit?usp=sharing"",""ฉะเชิงเทรา!J396"")"),0)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IFERROR(__xludf.DUMMYFUNCTION("IMPORTRANGE(""https://docs.google.com/spreadsheets/d/1SX6NBoVAgQJ6U1MVXOaj8PK2l7WJ3RER9xtqwdhxkhw/edit?usp=sharing"",""ฉะเชิงเทรา!I397"")"),0)</f>
        <v>0</v>
      </c>
      <c r="J502" s="190">
        <f ca="1">IFERROR(__xludf.DUMMYFUNCTION("IMPORTRANGE(""https://docs.google.com/spreadsheets/d/1SX6NBoVAgQJ6U1MVXOaj8PK2l7WJ3RER9xtqwdhxkhw/edit?usp=sharing"",""ฉะเชิงเทรา!J397"")"),0)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IFERROR(__xludf.DUMMYFUNCTION("IMPORTRANGE(""https://docs.google.com/spreadsheets/d/1SX6NBoVAgQJ6U1MVXOaj8PK2l7WJ3RER9xtqwdhxkhw/edit?usp=sharing"",""ฉะเชิงเทรา!I398"")"),0)</f>
        <v>0</v>
      </c>
      <c r="J503" s="199">
        <f ca="1">IFERROR(__xludf.DUMMYFUNCTION("IMPORTRANGE(""https://docs.google.com/spreadsheets/d/1SX6NBoVAgQJ6U1MVXOaj8PK2l7WJ3RER9xtqwdhxkhw/edit?usp=sharing"",""ฉะเชิงเทรา!J398"")"),0)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IFERROR(__xludf.DUMMYFUNCTION("IMPORTRANGE(""https://docs.google.com/spreadsheets/d/1SX6NBoVAgQJ6U1MVXOaj8PK2l7WJ3RER9xtqwdhxkhw/edit?usp=sharing"",""ฉะเชิงเทรา!I399"")"),0)</f>
        <v>0</v>
      </c>
      <c r="J504" s="190">
        <f ca="1">IFERROR(__xludf.DUMMYFUNCTION("IMPORTRANGE(""https://docs.google.com/spreadsheets/d/1SX6NBoVAgQJ6U1MVXOaj8PK2l7WJ3RER9xtqwdhxkhw/edit?usp=sharing"",""ฉะเชิงเทรา!J399"")"),0)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IFERROR(__xludf.DUMMYFUNCTION("IMPORTRANGE(""https://docs.google.com/spreadsheets/d/1SX6NBoVAgQJ6U1MVXOaj8PK2l7WJ3RER9xtqwdhxkhw/edit?usp=sharing"",""ฉะเชิงเทรา!I400"")"),0)</f>
        <v>0</v>
      </c>
      <c r="J505" s="199">
        <f ca="1">IFERROR(__xludf.DUMMYFUNCTION("IMPORTRANGE(""https://docs.google.com/spreadsheets/d/1SX6NBoVAgQJ6U1MVXOaj8PK2l7WJ3RER9xtqwdhxkhw/edit?usp=sharing"",""ฉะเชิงเทรา!J400"")"),0)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IFERROR(__xludf.DUMMYFUNCTION("IMPORTRANGE(""https://docs.google.com/spreadsheets/d/1SX6NBoVAgQJ6U1MVXOaj8PK2l7WJ3RER9xtqwdhxkhw/edit?usp=sharing"",""ฉะเชิงเทรา!I401"")"),0)</f>
        <v>0</v>
      </c>
      <c r="J506" s="190">
        <f ca="1">IFERROR(__xludf.DUMMYFUNCTION("IMPORTRANGE(""https://docs.google.com/spreadsheets/d/1SX6NBoVAgQJ6U1MVXOaj8PK2l7WJ3RER9xtqwdhxkhw/edit?usp=sharing"",""ฉะเชิงเทรา!J401"")"),0)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IFERROR(__xludf.DUMMYFUNCTION("IMPORTRANGE(""https://docs.google.com/spreadsheets/d/1SX6NBoVAgQJ6U1MVXOaj8PK2l7WJ3RER9xtqwdhxkhw/edit?usp=sharing"",""ฉะเชิงเทรา!I402"")"),0)</f>
        <v>0</v>
      </c>
      <c r="J507" s="199">
        <f ca="1">IFERROR(__xludf.DUMMYFUNCTION("IMPORTRANGE(""https://docs.google.com/spreadsheets/d/1SX6NBoVAgQJ6U1MVXOaj8PK2l7WJ3RER9xtqwdhxkhw/edit?usp=sharing"",""ฉะเชิงเทรา!J402"")"),0)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IFERROR(__xludf.DUMMYFUNCTION("IMPORTRANGE(""https://docs.google.com/spreadsheets/d/1SX6NBoVAgQJ6U1MVXOaj8PK2l7WJ3RER9xtqwdhxkhw/edit?usp=sharing"",""ฉะเชิงเทรา!I403"")"),0)</f>
        <v>0</v>
      </c>
      <c r="J508" s="164">
        <f ca="1">IFERROR(__xludf.DUMMYFUNCTION("IMPORTRANGE(""https://docs.google.com/spreadsheets/d/1SX6NBoVAgQJ6U1MVXOaj8PK2l7WJ3RER9xtqwdhxkhw/edit?usp=sharing"",""ฉะเชิงเทรา!J403"")"),0)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IFERROR(__xludf.DUMMYFUNCTION("IMPORTRANGE(""https://docs.google.com/spreadsheets/d/1SX6NBoVAgQJ6U1MVXOaj8PK2l7WJ3RER9xtqwdhxkhw/edit?usp=sharing"",""ฉะเชิงเทรา!I404"")"),0)</f>
        <v>0</v>
      </c>
      <c r="J509" s="164">
        <f ca="1">IFERROR(__xludf.DUMMYFUNCTION("IMPORTRANGE(""https://docs.google.com/spreadsheets/d/1SX6NBoVAgQJ6U1MVXOaj8PK2l7WJ3RER9xtqwdhxkhw/edit?usp=sharing"",""ฉะเชิงเทรา!J404"")"),0)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IFERROR(__xludf.DUMMYFUNCTION("IMPORTRANGE(""https://docs.google.com/spreadsheets/d/1SX6NBoVAgQJ6U1MVXOaj8PK2l7WJ3RER9xtqwdhxkhw/edit?usp=sharing"",""ฉะเชิงเทรา!I405"")"),0)</f>
        <v>0</v>
      </c>
      <c r="J510" s="199">
        <f ca="1">IFERROR(__xludf.DUMMYFUNCTION("IMPORTRANGE(""https://docs.google.com/spreadsheets/d/1SX6NBoVAgQJ6U1MVXOaj8PK2l7WJ3RER9xtqwdhxkhw/edit?usp=sharing"",""ฉะเชิงเทรา!J405"")"),0)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IFERROR(__xludf.DUMMYFUNCTION("IMPORTRANGE(""https://docs.google.com/spreadsheets/d/1SX6NBoVAgQJ6U1MVXOaj8PK2l7WJ3RER9xtqwdhxkhw/edit?usp=sharing"",""ฉะเชิงเทรา!I406"")"),0)</f>
        <v>0</v>
      </c>
      <c r="J511" s="199">
        <f ca="1">IFERROR(__xludf.DUMMYFUNCTION("IMPORTRANGE(""https://docs.google.com/spreadsheets/d/1SX6NBoVAgQJ6U1MVXOaj8PK2l7WJ3RER9xtqwdhxkhw/edit?usp=sharing"",""ฉะเชิงเทรา!J406"")"),0)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IFERROR(__xludf.DUMMYFUNCTION("IMPORTRANGE(""https://docs.google.com/spreadsheets/d/1SX6NBoVAgQJ6U1MVXOaj8PK2l7WJ3RER9xtqwdhxkhw/edit?usp=sharing"",""ฉะเชิงเทรา!I407"")"),0)</f>
        <v>0</v>
      </c>
      <c r="J512" s="199">
        <f ca="1">IFERROR(__xludf.DUMMYFUNCTION("IMPORTRANGE(""https://docs.google.com/spreadsheets/d/1SX6NBoVAgQJ6U1MVXOaj8PK2l7WJ3RER9xtqwdhxkhw/edit?usp=sharing"",""ฉะเชิงเทรา!J407"")"),0)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IFERROR(__xludf.DUMMYFUNCTION("IMPORTRANGE(""https://docs.google.com/spreadsheets/d/1SX6NBoVAgQJ6U1MVXOaj8PK2l7WJ3RER9xtqwdhxkhw/edit?usp=sharing"",""ฉะเชิงเทรา!I408"")"),0)</f>
        <v>0</v>
      </c>
      <c r="J513" s="199">
        <f ca="1">IFERROR(__xludf.DUMMYFUNCTION("IMPORTRANGE(""https://docs.google.com/spreadsheets/d/1SX6NBoVAgQJ6U1MVXOaj8PK2l7WJ3RER9xtqwdhxkhw/edit?usp=sharing"",""ฉะเชิงเทรา!J408"")"),0)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IFERROR(__xludf.DUMMYFUNCTION("IMPORTRANGE(""https://docs.google.com/spreadsheets/d/1SX6NBoVAgQJ6U1MVXOaj8PK2l7WJ3RER9xtqwdhxkhw/edit?usp=sharing"",""ฉะเชิงเทรา!I409"")"),0)</f>
        <v>0</v>
      </c>
      <c r="J514" s="199">
        <f ca="1">IFERROR(__xludf.DUMMYFUNCTION("IMPORTRANGE(""https://docs.google.com/spreadsheets/d/1SX6NBoVAgQJ6U1MVXOaj8PK2l7WJ3RER9xtqwdhxkhw/edit?usp=sharing"",""ฉะเชิงเทรา!J409"")"),0)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IFERROR(__xludf.DUMMYFUNCTION("IMPORTRANGE(""https://docs.google.com/spreadsheets/d/1SX6NBoVAgQJ6U1MVXOaj8PK2l7WJ3RER9xtqwdhxkhw/edit?usp=sharing"",""ฉะเชิงเทรา!I410"")"),0)</f>
        <v>0</v>
      </c>
      <c r="J515" s="199">
        <f ca="1">IFERROR(__xludf.DUMMYFUNCTION("IMPORTRANGE(""https://docs.google.com/spreadsheets/d/1SX6NBoVAgQJ6U1MVXOaj8PK2l7WJ3RER9xtqwdhxkhw/edit?usp=sharing"",""ฉะเชิงเทรา!J410"")"),0)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IFERROR(__xludf.DUMMYFUNCTION("IMPORTRANGE(""https://docs.google.com/spreadsheets/d/1SX6NBoVAgQJ6U1MVXOaj8PK2l7WJ3RER9xtqwdhxkhw/edit?usp=sharing"",""ฉะเชิงเทรา!I412"")"),0)</f>
        <v>0</v>
      </c>
      <c r="J517" s="284">
        <f ca="1">IFERROR(__xludf.DUMMYFUNCTION("IMPORTRANGE(""https://docs.google.com/spreadsheets/d/1SX6NBoVAgQJ6U1MVXOaj8PK2l7WJ3RER9xtqwdhxkhw/edit?usp=sharing"",""ฉะเชิงเทรา!J412"")"),0)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IFERROR(__xludf.DUMMYFUNCTION("IMPORTRANGE(""https://docs.google.com/spreadsheets/d/1SX6NBoVAgQJ6U1MVXOaj8PK2l7WJ3RER9xtqwdhxkhw/edit?usp=sharing"",""ฉะเชิงเทรา!I413"")"),0)</f>
        <v>0</v>
      </c>
      <c r="J518" s="284">
        <f ca="1">IFERROR(__xludf.DUMMYFUNCTION("IMPORTRANGE(""https://docs.google.com/spreadsheets/d/1SX6NBoVAgQJ6U1MVXOaj8PK2l7WJ3RER9xtqwdhxkhw/edit?usp=sharing"",""ฉะเชิงเทรา!J413"")"),0)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IFERROR(__xludf.DUMMYFUNCTION("IMPORTRANGE(""https://docs.google.com/spreadsheets/d/1SX6NBoVAgQJ6U1MVXOaj8PK2l7WJ3RER9xtqwdhxkhw/edit?usp=sharing"",""ฉะเชิงเทรา!I414"")"),0)</f>
        <v>0</v>
      </c>
      <c r="J519" s="189">
        <f ca="1">IFERROR(__xludf.DUMMYFUNCTION("IMPORTRANGE(""https://docs.google.com/spreadsheets/d/1SX6NBoVAgQJ6U1MVXOaj8PK2l7WJ3RER9xtqwdhxkhw/edit?usp=sharing"",""ฉะเชิงเทรา!J414"")"),0)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IFERROR(__xludf.DUMMYFUNCTION("IMPORTRANGE(""https://docs.google.com/spreadsheets/d/1SX6NBoVAgQJ6U1MVXOaj8PK2l7WJ3RER9xtqwdhxkhw/edit?usp=sharing"",""ฉะเชิงเทรา!I415"")"),0)</f>
        <v>0</v>
      </c>
      <c r="J520" s="189">
        <f ca="1">IFERROR(__xludf.DUMMYFUNCTION("IMPORTRANGE(""https://docs.google.com/spreadsheets/d/1SX6NBoVAgQJ6U1MVXOaj8PK2l7WJ3RER9xtqwdhxkhw/edit?usp=sharing"",""ฉะเชิงเทรา!J415"")"),0)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IFERROR(__xludf.DUMMYFUNCTION("IMPORTRANGE(""https://docs.google.com/spreadsheets/d/1SX6NBoVAgQJ6U1MVXOaj8PK2l7WJ3RER9xtqwdhxkhw/edit?usp=sharing"",""ฉะเชิงเทรา!I416"")"),0)</f>
        <v>0</v>
      </c>
      <c r="J521" s="189">
        <f ca="1">IFERROR(__xludf.DUMMYFUNCTION("IMPORTRANGE(""https://docs.google.com/spreadsheets/d/1SX6NBoVAgQJ6U1MVXOaj8PK2l7WJ3RER9xtqwdhxkhw/edit?usp=sharing"",""ฉะเชิงเทรา!J416"")"),0)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IFERROR(__xludf.DUMMYFUNCTION("IMPORTRANGE(""https://docs.google.com/spreadsheets/d/1SX6NBoVAgQJ6U1MVXOaj8PK2l7WJ3RER9xtqwdhxkhw/edit?usp=sharing"",""ฉะเชิงเทรา!I417"")"),0)</f>
        <v>0</v>
      </c>
      <c r="J522" s="189">
        <f ca="1">IFERROR(__xludf.DUMMYFUNCTION("IMPORTRANGE(""https://docs.google.com/spreadsheets/d/1SX6NBoVAgQJ6U1MVXOaj8PK2l7WJ3RER9xtqwdhxkhw/edit?usp=sharing"",""ฉะเชิงเทรา!J417"")"),0)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IFERROR(__xludf.DUMMYFUNCTION("IMPORTRANGE(""https://docs.google.com/spreadsheets/d/1SX6NBoVAgQJ6U1MVXOaj8PK2l7WJ3RER9xtqwdhxkhw/edit?usp=sharing"",""ฉะเชิงเทรา!I418"")"),0)</f>
        <v>0</v>
      </c>
      <c r="J523" s="189">
        <f ca="1">IFERROR(__xludf.DUMMYFUNCTION("IMPORTRANGE(""https://docs.google.com/spreadsheets/d/1SX6NBoVAgQJ6U1MVXOaj8PK2l7WJ3RER9xtqwdhxkhw/edit?usp=sharing"",""ฉะเชิงเทรา!J418"")"),0)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IFERROR(__xludf.DUMMYFUNCTION("IMPORTRANGE(""https://docs.google.com/spreadsheets/d/1SX6NBoVAgQJ6U1MVXOaj8PK2l7WJ3RER9xtqwdhxkhw/edit?usp=sharing"",""ฉะเชิงเทรา!I419"")"),0)</f>
        <v>0</v>
      </c>
      <c r="J524" s="189">
        <f ca="1">IFERROR(__xludf.DUMMYFUNCTION("IMPORTRANGE(""https://docs.google.com/spreadsheets/d/1SX6NBoVAgQJ6U1MVXOaj8PK2l7WJ3RER9xtqwdhxkhw/edit?usp=sharing"",""ฉะเชิงเทรา!J419"")"),0)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IFERROR(__xludf.DUMMYFUNCTION("IMPORTRANGE(""https://docs.google.com/spreadsheets/d/1SX6NBoVAgQJ6U1MVXOaj8PK2l7WJ3RER9xtqwdhxkhw/edit?usp=sharing"",""ฉะเชิงเทรา!I420"")"),0)</f>
        <v>0</v>
      </c>
      <c r="J525" s="284">
        <f ca="1">IFERROR(__xludf.DUMMYFUNCTION("IMPORTRANGE(""https://docs.google.com/spreadsheets/d/1SX6NBoVAgQJ6U1MVXOaj8PK2l7WJ3RER9xtqwdhxkhw/edit?usp=sharing"",""ฉะเชิงเทรา!J420"")"),0)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IFERROR(__xludf.DUMMYFUNCTION("IMPORTRANGE(""https://docs.google.com/spreadsheets/d/1SX6NBoVAgQJ6U1MVXOaj8PK2l7WJ3RER9xtqwdhxkhw/edit?usp=sharing"",""ฉะเชิงเทรา!I421"")"),0)</f>
        <v>0</v>
      </c>
      <c r="J526" s="284">
        <f ca="1">IFERROR(__xludf.DUMMYFUNCTION("IMPORTRANGE(""https://docs.google.com/spreadsheets/d/1SX6NBoVAgQJ6U1MVXOaj8PK2l7WJ3RER9xtqwdhxkhw/edit?usp=sharing"",""ฉะเชิงเทรา!J421"")"),0)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IFERROR(__xludf.DUMMYFUNCTION("IMPORTRANGE(""https://docs.google.com/spreadsheets/d/1SX6NBoVAgQJ6U1MVXOaj8PK2l7WJ3RER9xtqwdhxkhw/edit?usp=sharing"",""ฉะเชิงเทรา!I422"")"),0)</f>
        <v>0</v>
      </c>
      <c r="J527" s="199">
        <f ca="1">IFERROR(__xludf.DUMMYFUNCTION("IMPORTRANGE(""https://docs.google.com/spreadsheets/d/1SX6NBoVAgQJ6U1MVXOaj8PK2l7WJ3RER9xtqwdhxkhw/edit?usp=sharing"",""ฉะเชิงเทรา!J422"")"),0)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IFERROR(__xludf.DUMMYFUNCTION("IMPORTRANGE(""https://docs.google.com/spreadsheets/d/1SX6NBoVAgQJ6U1MVXOaj8PK2l7WJ3RER9xtqwdhxkhw/edit?usp=sharing"",""ฉะเชิงเทรา!I423"")"),0)</f>
        <v>0</v>
      </c>
      <c r="J528" s="199">
        <f ca="1">IFERROR(__xludf.DUMMYFUNCTION("IMPORTRANGE(""https://docs.google.com/spreadsheets/d/1SX6NBoVAgQJ6U1MVXOaj8PK2l7WJ3RER9xtqwdhxkhw/edit?usp=sharing"",""ฉะเชิงเทรา!J423"")"),0)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IFERROR(__xludf.DUMMYFUNCTION("IMPORTRANGE(""https://docs.google.com/spreadsheets/d/1SX6NBoVAgQJ6U1MVXOaj8PK2l7WJ3RER9xtqwdhxkhw/edit?usp=sharing"",""ฉะเชิงเทรา!I424"")"),0)</f>
        <v>0</v>
      </c>
      <c r="J529" s="199">
        <f ca="1">IFERROR(__xludf.DUMMYFUNCTION("IMPORTRANGE(""https://docs.google.com/spreadsheets/d/1SX6NBoVAgQJ6U1MVXOaj8PK2l7WJ3RER9xtqwdhxkhw/edit?usp=sharing"",""ฉะเชิงเทรา!J424"")"),0)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IFERROR(__xludf.DUMMYFUNCTION("IMPORTRANGE(""https://docs.google.com/spreadsheets/d/1SX6NBoVAgQJ6U1MVXOaj8PK2l7WJ3RER9xtqwdhxkhw/edit?usp=sharing"",""ฉะเชิงเทรา!I425"")"),0)</f>
        <v>0</v>
      </c>
      <c r="J530" s="199">
        <f ca="1">IFERROR(__xludf.DUMMYFUNCTION("IMPORTRANGE(""https://docs.google.com/spreadsheets/d/1SX6NBoVAgQJ6U1MVXOaj8PK2l7WJ3RER9xtqwdhxkhw/edit?usp=sharing"",""ฉะเชิงเทรา!J425"")"),0)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IFERROR(__xludf.DUMMYFUNCTION("IMPORTRANGE(""https://docs.google.com/spreadsheets/d/1SX6NBoVAgQJ6U1MVXOaj8PK2l7WJ3RER9xtqwdhxkhw/edit?usp=sharing"",""ฉะเชิงเทรา!I426"")"),0)</f>
        <v>0</v>
      </c>
      <c r="J531" s="199">
        <f ca="1">IFERROR(__xludf.DUMMYFUNCTION("IMPORTRANGE(""https://docs.google.com/spreadsheets/d/1SX6NBoVAgQJ6U1MVXOaj8PK2l7WJ3RER9xtqwdhxkhw/edit?usp=sharing"",""ฉะเชิงเทรา!J426"")"),0)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IFERROR(__xludf.DUMMYFUNCTION("IMPORTRANGE(""https://docs.google.com/spreadsheets/d/1SX6NBoVAgQJ6U1MVXOaj8PK2l7WJ3RER9xtqwdhxkhw/edit?usp=sharing"",""ฉะเชิงเทรา!M428"")"),30240)</f>
        <v>30240</v>
      </c>
      <c r="O533" s="412">
        <f t="shared" ref="O533:O537" ca="1" si="118">+IF(L533&gt;0,N533*100/L533,0)</f>
        <v>88.060570762958648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IFERROR(__xludf.DUMMYFUNCTION("IMPORTRANGE(""https://docs.google.com/spreadsheets/d/1SX6NBoVAgQJ6U1MVXOaj8PK2l7WJ3RER9xtqwdhxkhw/edit?usp=sharing"",""ฉะเชิงเทรา!L429"")"),0)</f>
        <v>0</v>
      </c>
      <c r="M534" s="166"/>
      <c r="N534" s="170">
        <f ca="1">IFERROR(__xludf.DUMMYFUNCTION("IMPORTRANGE(""https://docs.google.com/spreadsheets/d/1SX6NBoVAgQJ6U1MVXOaj8PK2l7WJ3RER9xtqwdhxkhw/edit?usp=sharing"",""ฉะเชิงเทรา!M429"")"),0)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IFERROR(__xludf.DUMMYFUNCTION("IMPORTRANGE(""https://docs.google.com/spreadsheets/d/1SX6NBoVAgQJ6U1MVXOaj8PK2l7WJ3RER9xtqwdhxkhw/edit?usp=sharing"",""ฉะเชิงเทรา!L430"")"),34340)</f>
        <v>34340</v>
      </c>
      <c r="M535" s="167"/>
      <c r="N535" s="170">
        <f ca="1">IFERROR(__xludf.DUMMYFUNCTION("IMPORTRANGE(""https://docs.google.com/spreadsheets/d/1SX6NBoVAgQJ6U1MVXOaj8PK2l7WJ3RER9xtqwdhxkhw/edit?usp=sharing"",""ฉะเชิงเทรา!M430"")"),30240)</f>
        <v>30240</v>
      </c>
      <c r="O535" s="170">
        <f t="shared" ca="1" si="118"/>
        <v>88.060570762958648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IFERROR(__xludf.DUMMYFUNCTION("IMPORTRANGE(""https://docs.google.com/spreadsheets/d/1SX6NBoVAgQJ6U1MVXOaj8PK2l7WJ3RER9xtqwdhxkhw/edit?usp=sharing"",""ฉะเชิงเทรา!L431"")"),0)</f>
        <v>0</v>
      </c>
      <c r="M536" s="170"/>
      <c r="N536" s="170">
        <f ca="1">IFERROR(__xludf.DUMMYFUNCTION("IMPORTRANGE(""https://docs.google.com/spreadsheets/d/1SX6NBoVAgQJ6U1MVXOaj8PK2l7WJ3RER9xtqwdhxkhw/edit?usp=sharing"",""ฉะเชิงเทรา!M431"")"),0)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IFERROR(__xludf.DUMMYFUNCTION("IMPORTRANGE(""https://docs.google.com/spreadsheets/d/1SX6NBoVAgQJ6U1MVXOaj8PK2l7WJ3RER9xtqwdhxkhw/edit?usp=sharing"",""ฉะเชิงเทรา!L432"")"),34340)</f>
        <v>34340</v>
      </c>
      <c r="M537" s="170"/>
      <c r="N537" s="170">
        <f ca="1">IFERROR(__xludf.DUMMYFUNCTION("IMPORTRANGE(""https://docs.google.com/spreadsheets/d/1SX6NBoVAgQJ6U1MVXOaj8PK2l7WJ3RER9xtqwdhxkhw/edit?usp=sharing"",""ฉะเชิงเทรา!M432"")"),30240)</f>
        <v>30240</v>
      </c>
      <c r="O537" s="170">
        <f t="shared" ca="1" si="118"/>
        <v>88.060570762958648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IFERROR(__xludf.DUMMYFUNCTION("IMPORTRANGE(""https://docs.google.com/spreadsheets/d/1SX6NBoVAgQJ6U1MVXOaj8PK2l7WJ3RER9xtqwdhxkhw/edit?usp=sharing"",""ฉะเชิงเทรา!M436"")"),11500)</f>
        <v>11500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IFERROR(__xludf.DUMMYFUNCTION("IMPORTRANGE(""https://docs.google.com/spreadsheets/d/1SX6NBoVAgQJ6U1MVXOaj8PK2l7WJ3RER9xtqwdhxkhw/edit?usp=sharing"",""ฉะเชิงเทรา!J438"")"),0)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IFERROR(__xludf.DUMMYFUNCTION("IMPORTRANGE(""https://docs.google.com/spreadsheets/d/1SX6NBoVAgQJ6U1MVXOaj8PK2l7WJ3RER9xtqwdhxkhw/edit?usp=sharing"",""ฉะเชิงเทรา!J439"")"),1)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IFERROR(__xludf.DUMMYFUNCTION("IMPORTRANGE(""https://docs.google.com/spreadsheets/d/1SX6NBoVAgQJ6U1MVXOaj8PK2l7WJ3RER9xtqwdhxkhw/edit?usp=sharing"",""ฉะเชิงเทรา!J440"")"),1)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IFERROR(__xludf.DUMMYFUNCTION("IMPORTRANGE(""https://docs.google.com/spreadsheets/d/1SX6NBoVAgQJ6U1MVXOaj8PK2l7WJ3RER9xtqwdhxkhw/edit?usp=sharing"",""ฉะเชิงเทรา!J441"")"),1)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IFERROR(__xludf.DUMMYFUNCTION("IMPORTRANGE(""https://docs.google.com/spreadsheets/d/1SX6NBoVAgQJ6U1MVXOaj8PK2l7WJ3RER9xtqwdhxkhw/edit?usp=sharing"",""ฉะเชิงเทรา!I442"")"),22)</f>
        <v>22</v>
      </c>
      <c r="J547" s="190">
        <f ca="1">IFERROR(__xludf.DUMMYFUNCTION("IMPORTRANGE(""https://docs.google.com/spreadsheets/d/1SX6NBoVAgQJ6U1MVXOaj8PK2l7WJ3RER9xtqwdhxkhw/edit?usp=sharing"",""ฉะเชิงเทรา!J442"")"),22)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IFERROR(__xludf.DUMMYFUNCTION("IMPORTRANGE(""https://docs.google.com/spreadsheets/d/1SX6NBoVAgQJ6U1MVXOaj8PK2l7WJ3RER9xtqwdhxkhw/edit?usp=sharing"",""ฉะเชิงเทรา!J166"")"),0)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IFERROR(__xludf.DUMMYFUNCTION("IMPORTRANGE(""https://docs.google.com/spreadsheets/d/1SX6NBoVAgQJ6U1MVXOaj8PK2l7WJ3RER9xtqwdhxkhw/edit?usp=sharing"",""ฉะเชิงเทรา!J444"")"),0)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IFERROR(__xludf.DUMMYFUNCTION("IMPORTRANGE(""https://docs.google.com/spreadsheets/d/1SX6NBoVAgQJ6U1MVXOaj8PK2l7WJ3RER9xtqwdhxkhw/edit?usp=sharing"",""ฉะเชิงเทรา!L447"")"),0)</f>
        <v>0</v>
      </c>
      <c r="M552" s="166"/>
      <c r="N552" s="170">
        <f ca="1">IFERROR(__xludf.DUMMYFUNCTION("IMPORTRANGE(""https://docs.google.com/spreadsheets/d/1SX6NBoVAgQJ6U1MVXOaj8PK2l7WJ3RER9xtqwdhxkhw/edit?usp=sharing"",""ฉะเชิงเทรา!M447"")"),0)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IFERROR(__xludf.DUMMYFUNCTION("IMPORTRANGE(""https://docs.google.com/spreadsheets/d/1SX6NBoVAgQJ6U1MVXOaj8PK2l7WJ3RER9xtqwdhxkhw/edit?usp=sharing"",""ฉะเชิงเทรา!L448"")"),0)</f>
        <v>0</v>
      </c>
      <c r="M553" s="167"/>
      <c r="N553" s="170">
        <f ca="1">IFERROR(__xludf.DUMMYFUNCTION("IMPORTRANGE(""https://docs.google.com/spreadsheets/d/1SX6NBoVAgQJ6U1MVXOaj8PK2l7WJ3RER9xtqwdhxkhw/edit?usp=sharing"",""ฉะเชิงเทรา!M448"")"),0)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IFERROR(__xludf.DUMMYFUNCTION("IMPORTRANGE(""https://docs.google.com/spreadsheets/d/1SX6NBoVAgQJ6U1MVXOaj8PK2l7WJ3RER9xtqwdhxkhw/edit?usp=sharing"",""ฉะเชิงเทรา!L449"")"),0)</f>
        <v>0</v>
      </c>
      <c r="M554" s="170"/>
      <c r="N554" s="170">
        <f ca="1">IFERROR(__xludf.DUMMYFUNCTION("IMPORTRANGE(""https://docs.google.com/spreadsheets/d/1SX6NBoVAgQJ6U1MVXOaj8PK2l7WJ3RER9xtqwdhxkhw/edit?usp=sharing"",""ฉะเชิงเทรา!M449"")"),0)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IFERROR(__xludf.DUMMYFUNCTION("IMPORTRANGE(""https://docs.google.com/spreadsheets/d/1SX6NBoVAgQJ6U1MVXOaj8PK2l7WJ3RER9xtqwdhxkhw/edit?usp=sharing"",""ฉะเชิงเทรา!L450"")"),0)</f>
        <v>0</v>
      </c>
      <c r="M555" s="170"/>
      <c r="N555" s="170">
        <f ca="1">IFERROR(__xludf.DUMMYFUNCTION("IMPORTRANGE(""https://docs.google.com/spreadsheets/d/1SX6NBoVAgQJ6U1MVXOaj8PK2l7WJ3RER9xtqwdhxkhw/edit?usp=sharing"",""ฉะเชิงเทรา!M450"")"),0)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IFERROR(__xludf.DUMMYFUNCTION("IMPORTRANGE(""https://docs.google.com/spreadsheets/d/1SX6NBoVAgQJ6U1MVXOaj8PK2l7WJ3RER9xtqwdhxkhw/edit?usp=sharing"",""ฉะเชิงเทรา!M451"")"),0)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IFERROR(__xludf.DUMMYFUNCTION("IMPORTRANGE(""https://docs.google.com/spreadsheets/d/1SX6NBoVAgQJ6U1MVXOaj8PK2l7WJ3RER9xtqwdhxkhw/edit?usp=sharing"",""ฉะเชิงเทรา!M452"")"),0)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IFERROR(__xludf.DUMMYFUNCTION("IMPORTRANGE(""https://docs.google.com/spreadsheets/d/1SX6NBoVAgQJ6U1MVXOaj8PK2l7WJ3RER9xtqwdhxkhw/edit?usp=sharing"",""ฉะเชิงเทรา!M453"")"),0)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IFERROR(__xludf.DUMMYFUNCTION("IMPORTRANGE(""https://docs.google.com/spreadsheets/d/1SX6NBoVAgQJ6U1MVXOaj8PK2l7WJ3RER9xtqwdhxkhw/edit?usp=sharing"",""ฉะเชิงเทรา!M454"")"),0)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IFERROR(__xludf.DUMMYFUNCTION("IMPORTRANGE(""https://docs.google.com/spreadsheets/d/1SX6NBoVAgQJ6U1MVXOaj8PK2l7WJ3RER9xtqwdhxkhw/edit?usp=sharing"",""ฉะเชิงเทรา!I455"")"),0)</f>
        <v>0</v>
      </c>
      <c r="J560" s="164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IFERROR(__xludf.DUMMYFUNCTION("IMPORTRANGE(""https://docs.google.com/spreadsheets/d/1SX6NBoVAgQJ6U1MVXOaj8PK2l7WJ3RER9xtqwdhxkhw/edit?usp=sharing"",""ฉะเชิงเทรา!I456"")"),0)</f>
        <v>0</v>
      </c>
      <c r="J561" s="205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IFERROR(__xludf.DUMMYFUNCTION("IMPORTRANGE(""https://docs.google.com/spreadsheets/d/1SX6NBoVAgQJ6U1MVXOaj8PK2l7WJ3RER9xtqwdhxkhw/edit?usp=sharing"",""ฉะเชิงเทรา!I457"")"),0)</f>
        <v>0</v>
      </c>
      <c r="J562" s="205" t="str">
        <f ca="1">IFERROR(__xludf.DUMMYFUNCTION("IMPORTRANGE(""https://docs.google.com/spreadsheets/d/1SX6NBoVAgQJ6U1MVXOaj8PK2l7WJ3RER9xtqwdhxkhw/edit?usp=sharing"",""ฉะเชิงเทรา!J457"")"),"")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IFERROR(__xludf.DUMMYFUNCTION("IMPORTRANGE(""https://docs.google.com/spreadsheets/d/1SX6NBoVAgQJ6U1MVXOaj8PK2l7WJ3RER9xtqwdhxkhw/edit?usp=sharing"",""ฉะเชิงเทรา!I458"")"),0)</f>
        <v>0</v>
      </c>
      <c r="J563" s="189" t="str">
        <f ca="1">IFERROR(__xludf.DUMMYFUNCTION("IMPORTRANGE(""https://docs.google.com/spreadsheets/d/1SX6NBoVAgQJ6U1MVXOaj8PK2l7WJ3RER9xtqwdhxkhw/edit?usp=sharing"",""ฉะเชิงเทรา!J458"")"),"")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IFERROR(__xludf.DUMMYFUNCTION("IMPORTRANGE(""https://docs.google.com/spreadsheets/d/1SX6NBoVAgQJ6U1MVXOaj8PK2l7WJ3RER9xtqwdhxkhw/edit?usp=sharing"",""ฉะเชิงเทรา!J459"")"),15774)</f>
        <v>15774</v>
      </c>
      <c r="K564" s="372">
        <f t="shared" ca="1" si="121"/>
        <v>876.33333333333337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IFERROR(__xludf.DUMMYFUNCTION("IMPORTRANGE(""https://docs.google.com/spreadsheets/d/1SX6NBoVAgQJ6U1MVXOaj8PK2l7WJ3RER9xtqwdhxkhw/edit?usp=sharing"",""ฉะเชิงเทรา!M459"")"),61099.68)</f>
        <v>61099.68</v>
      </c>
      <c r="O564" s="373">
        <f t="shared" ref="O564:O568" ca="1" si="122">+IF(L564&gt;0,N564*100/L564,0)</f>
        <v>43.345402951191829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IFERROR(__xludf.DUMMYFUNCTION("IMPORTRANGE(""https://docs.google.com/spreadsheets/d/1SX6NBoVAgQJ6U1MVXOaj8PK2l7WJ3RER9xtqwdhxkhw/edit?usp=sharing"",""ฉะเชิงเทรา!L460"")"),0)</f>
        <v>0</v>
      </c>
      <c r="M565" s="166"/>
      <c r="N565" s="170">
        <f ca="1">IFERROR(__xludf.DUMMYFUNCTION("IMPORTRANGE(""https://docs.google.com/spreadsheets/d/1SX6NBoVAgQJ6U1MVXOaj8PK2l7WJ3RER9xtqwdhxkhw/edit?usp=sharing"",""ฉะเชิงเทรา!M460"")"),0)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7"/>
      <c r="N566" s="170">
        <f ca="1">IFERROR(__xludf.DUMMYFUNCTION("IMPORTRANGE(""https://docs.google.com/spreadsheets/d/1SX6NBoVAgQJ6U1MVXOaj8PK2l7WJ3RER9xtqwdhxkhw/edit?usp=sharing"",""ฉะเชิงเทรา!M461"")"),61099.68)</f>
        <v>61099.68</v>
      </c>
      <c r="O566" s="170">
        <f t="shared" ca="1" si="122"/>
        <v>43.345402951191829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IFERROR(__xludf.DUMMYFUNCTION("IMPORTRANGE(""https://docs.google.com/spreadsheets/d/1SX6NBoVAgQJ6U1MVXOaj8PK2l7WJ3RER9xtqwdhxkhw/edit?usp=sharing"",""ฉะเชิงเทรา!L462"")"),0)</f>
        <v>0</v>
      </c>
      <c r="M567" s="170"/>
      <c r="N567" s="170">
        <f ca="1">IFERROR(__xludf.DUMMYFUNCTION("IMPORTRANGE(""https://docs.google.com/spreadsheets/d/1SX6NBoVAgQJ6U1MVXOaj8PK2l7WJ3RER9xtqwdhxkhw/edit?usp=sharing"",""ฉะเชิงเทรา!M462"")"),0)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IFERROR(__xludf.DUMMYFUNCTION("IMPORTRANGE(""https://docs.google.com/spreadsheets/d/1SX6NBoVAgQJ6U1MVXOaj8PK2l7WJ3RER9xtqwdhxkhw/edit?usp=sharing"",""ฉะเชิงเทรา!L463"")"),140960)</f>
        <v>140960</v>
      </c>
      <c r="M568" s="170"/>
      <c r="N568" s="170">
        <f ca="1">IFERROR(__xludf.DUMMYFUNCTION("IMPORTRANGE(""https://docs.google.com/spreadsheets/d/1SX6NBoVAgQJ6U1MVXOaj8PK2l7WJ3RER9xtqwdhxkhw/edit?usp=sharing"",""ฉะเชิงเทรา!M463"")"),61099.68)</f>
        <v>61099.68</v>
      </c>
      <c r="O568" s="170">
        <f t="shared" ca="1" si="122"/>
        <v>43.345402951191829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IFERROR(__xludf.DUMMYFUNCTION("IMPORTRANGE(""https://docs.google.com/spreadsheets/d/1SX6NBoVAgQJ6U1MVXOaj8PK2l7WJ3RER9xtqwdhxkhw/edit?usp=sharing"",""ฉะเชิงเทรา!M464"")"),0)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IFERROR(__xludf.DUMMYFUNCTION("IMPORTRANGE(""https://docs.google.com/spreadsheets/d/1SX6NBoVAgQJ6U1MVXOaj8PK2l7WJ3RER9xtqwdhxkhw/edit?usp=sharing"",""ฉะเชิงเทรา!M465"")"),0)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IFERROR(__xludf.DUMMYFUNCTION("IMPORTRANGE(""https://docs.google.com/spreadsheets/d/1SX6NBoVAgQJ6U1MVXOaj8PK2l7WJ3RER9xtqwdhxkhw/edit?usp=sharing"",""ฉะเชิงเทรา!M466"")"),49499.68)</f>
        <v>49499.68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IFERROR(__xludf.DUMMYFUNCTION("IMPORTRANGE(""https://docs.google.com/spreadsheets/d/1SX6NBoVAgQJ6U1MVXOaj8PK2l7WJ3RER9xtqwdhxkhw/edit?usp=sharing"",""ฉะเชิงเทรา!M467"")"),11600)</f>
        <v>11600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IFERROR(__xludf.DUMMYFUNCTION("IMPORTRANGE(""https://docs.google.com/spreadsheets/d/1SX6NBoVAgQJ6U1MVXOaj8PK2l7WJ3RER9xtqwdhxkhw/edit?usp=sharing"",""ฉะเชิงเทรา!J468"")"),15774)</f>
        <v>15774</v>
      </c>
      <c r="K573" s="203">
        <f ca="1">IF(I573&gt;0,J573*100/I573,0)</f>
        <v>876.33333333333337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IFERROR(__xludf.DUMMYFUNCTION("IMPORTRANGE(""https://docs.google.com/spreadsheets/d/1SX6NBoVAgQJ6U1MVXOaj8PK2l7WJ3RER9xtqwdhxkhw/edit?usp=sharing"",""ฉะเชิงเทรา!I470"")"),0)</f>
        <v>0</v>
      </c>
      <c r="J575" s="199">
        <f ca="1">IFERROR(__xludf.DUMMYFUNCTION("IMPORTRANGE(""https://docs.google.com/spreadsheets/d/1SX6NBoVAgQJ6U1MVXOaj8PK2l7WJ3RER9xtqwdhxkhw/edit?usp=sharing"",""ฉะเชิงเทรา!J470"")"),2)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IFERROR(__xludf.DUMMYFUNCTION("IMPORTRANGE(""https://docs.google.com/spreadsheets/d/1SX6NBoVAgQJ6U1MVXOaj8PK2l7WJ3RER9xtqwdhxkhw/edit?usp=sharing"",""ฉะเชิงเทรา!I471"")"),0)</f>
        <v>0</v>
      </c>
      <c r="J576" s="199">
        <f ca="1">IFERROR(__xludf.DUMMYFUNCTION("IMPORTRANGE(""https://docs.google.com/spreadsheets/d/1SX6NBoVAgQJ6U1MVXOaj8PK2l7WJ3RER9xtqwdhxkhw/edit?usp=sharing"",""ฉะเชิงเทรา!J471"")"),116)</f>
        <v>116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IFERROR(__xludf.DUMMYFUNCTION("IMPORTRANGE(""https://docs.google.com/spreadsheets/d/1SX6NBoVAgQJ6U1MVXOaj8PK2l7WJ3RER9xtqwdhxkhw/edit?usp=sharing"",""ฉะเชิงเทรา!I472"")"),0)</f>
        <v>0</v>
      </c>
      <c r="J577" s="190">
        <f ca="1">IFERROR(__xludf.DUMMYFUNCTION("IMPORTRANGE(""https://docs.google.com/spreadsheets/d/1SX6NBoVAgQJ6U1MVXOaj8PK2l7WJ3RER9xtqwdhxkhw/edit?usp=sharing"",""ฉะเชิงเทรา!J472"")"),15638)</f>
        <v>15638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IFERROR(__xludf.DUMMYFUNCTION("IMPORTRANGE(""https://docs.google.com/spreadsheets/d/1SX6NBoVAgQJ6U1MVXOaj8PK2l7WJ3RER9xtqwdhxkhw/edit?usp=sharing"",""ฉะเชิงเทรา!I473"")"),0)</f>
        <v>0</v>
      </c>
      <c r="J578" s="199">
        <f ca="1">IFERROR(__xludf.DUMMYFUNCTION("IMPORTRANGE(""https://docs.google.com/spreadsheets/d/1SX6NBoVAgQJ6U1MVXOaj8PK2l7WJ3RER9xtqwdhxkhw/edit?usp=sharing"",""ฉะเชิงเทรา!J473"")"),20)</f>
        <v>20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IFERROR(__xludf.DUMMYFUNCTION("IMPORTRANGE(""https://docs.google.com/spreadsheets/d/1SX6NBoVAgQJ6U1MVXOaj8PK2l7WJ3RER9xtqwdhxkhw/edit?usp=sharing"",""ฉะเชิงเทรา!I474"")"),0)</f>
        <v>0</v>
      </c>
      <c r="J579" s="199">
        <f ca="1">IFERROR(__xludf.DUMMYFUNCTION("IMPORTRANGE(""https://docs.google.com/spreadsheets/d/1SX6NBoVAgQJ6U1MVXOaj8PK2l7WJ3RER9xtqwdhxkhw/edit?usp=sharing"",""ฉะเชิงเทรา!J474"")"),0)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IFERROR(__xludf.DUMMYFUNCTION("IMPORTRANGE(""https://docs.google.com/spreadsheets/d/1SX6NBoVAgQJ6U1MVXOaj8PK2l7WJ3RER9xtqwdhxkhw/edit?usp=sharing"",""ฉะเชิงเทรา!M475"")"),32853.28)</f>
        <v>32853.279999999999</v>
      </c>
      <c r="O580" s="373">
        <f t="shared" ref="O580:O584" ca="1" si="124">+IF(L580&gt;0,N580*100/L580,0)</f>
        <v>10.010140158439976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IFERROR(__xludf.DUMMYFUNCTION("IMPORTRANGE(""https://docs.google.com/spreadsheets/d/1SX6NBoVAgQJ6U1MVXOaj8PK2l7WJ3RER9xtqwdhxkhw/edit?usp=sharing"",""ฉะเชิงเทรา!L476"")"),0)</f>
        <v>0</v>
      </c>
      <c r="M581" s="166"/>
      <c r="N581" s="170">
        <f ca="1">IFERROR(__xludf.DUMMYFUNCTION("IMPORTRANGE(""https://docs.google.com/spreadsheets/d/1SX6NBoVAgQJ6U1MVXOaj8PK2l7WJ3RER9xtqwdhxkhw/edit?usp=sharing"",""ฉะเชิงเทรา!M476"")"),0)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7"/>
      <c r="N582" s="170">
        <f ca="1">IFERROR(__xludf.DUMMYFUNCTION("IMPORTRANGE(""https://docs.google.com/spreadsheets/d/1SX6NBoVAgQJ6U1MVXOaj8PK2l7WJ3RER9xtqwdhxkhw/edit?usp=sharing"",""ฉะเชิงเทรา!M477"")"),32853.28)</f>
        <v>32853.279999999999</v>
      </c>
      <c r="O582" s="170">
        <f t="shared" ca="1" si="124"/>
        <v>10.010140158439976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IFERROR(__xludf.DUMMYFUNCTION("IMPORTRANGE(""https://docs.google.com/spreadsheets/d/1SX6NBoVAgQJ6U1MVXOaj8PK2l7WJ3RER9xtqwdhxkhw/edit?usp=sharing"",""ฉะเชิงเทรา!L478"")"),0)</f>
        <v>0</v>
      </c>
      <c r="M583" s="170"/>
      <c r="N583" s="170">
        <f ca="1">IFERROR(__xludf.DUMMYFUNCTION("IMPORTRANGE(""https://docs.google.com/spreadsheets/d/1SX6NBoVAgQJ6U1MVXOaj8PK2l7WJ3RER9xtqwdhxkhw/edit?usp=sharing"",""ฉะเชิงเทรา!M478"")"),0)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IFERROR(__xludf.DUMMYFUNCTION("IMPORTRANGE(""https://docs.google.com/spreadsheets/d/1SX6NBoVAgQJ6U1MVXOaj8PK2l7WJ3RER9xtqwdhxkhw/edit?usp=sharing"",""ฉะเชิงเทรา!L479"")"),328200)</f>
        <v>328200</v>
      </c>
      <c r="M584" s="170"/>
      <c r="N584" s="170">
        <f ca="1">IFERROR(__xludf.DUMMYFUNCTION("IMPORTRANGE(""https://docs.google.com/spreadsheets/d/1SX6NBoVAgQJ6U1MVXOaj8PK2l7WJ3RER9xtqwdhxkhw/edit?usp=sharing"",""ฉะเชิงเทรา!M479"")"),32853.28)</f>
        <v>32853.279999999999</v>
      </c>
      <c r="O584" s="170">
        <f t="shared" ca="1" si="124"/>
        <v>10.010140158439976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IFERROR(__xludf.DUMMYFUNCTION("IMPORTRANGE(""https://docs.google.com/spreadsheets/d/1SX6NBoVAgQJ6U1MVXOaj8PK2l7WJ3RER9xtqwdhxkhw/edit?usp=sharing"",""ฉะเชิงเทรา!M480"")"),0)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IFERROR(__xludf.DUMMYFUNCTION("IMPORTRANGE(""https://docs.google.com/spreadsheets/d/1SX6NBoVAgQJ6U1MVXOaj8PK2l7WJ3RER9xtqwdhxkhw/edit?usp=sharing"",""ฉะเชิงเทรา!M481"")"),0)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IFERROR(__xludf.DUMMYFUNCTION("IMPORTRANGE(""https://docs.google.com/spreadsheets/d/1SX6NBoVAgQJ6U1MVXOaj8PK2l7WJ3RER9xtqwdhxkhw/edit?usp=sharing"",""ฉะเชิงเทรา!M482"")"),13933.28)</f>
        <v>13933.28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IFERROR(__xludf.DUMMYFUNCTION("IMPORTRANGE(""https://docs.google.com/spreadsheets/d/1SX6NBoVAgQJ6U1MVXOaj8PK2l7WJ3RER9xtqwdhxkhw/edit?usp=sharing"",""ฉะเชิงเทรา!M483"")"),18920)</f>
        <v>18920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IFERROR(__xludf.DUMMYFUNCTION("IMPORTRANGE(""https://docs.google.com/spreadsheets/d/1SX6NBoVAgQJ6U1MVXOaj8PK2l7WJ3RER9xtqwdhxkhw/edit?usp=sharing"",""ฉะเชิงเทรา!I484"")"),200)</f>
        <v>200</v>
      </c>
      <c r="J589" s="189">
        <f ca="1">IFERROR(__xludf.DUMMYFUNCTION("IMPORTRANGE(""https://docs.google.com/spreadsheets/d/1SX6NBoVAgQJ6U1MVXOaj8PK2l7WJ3RER9xtqwdhxkhw/edit?usp=sharing"",""ฉะเชิงเทรา!J484"")"),108)</f>
        <v>108</v>
      </c>
      <c r="K589" s="165">
        <f t="shared" ref="K589:K596" ca="1" si="125">IF(I589&gt;0,J589*100/I589,0)</f>
        <v>54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9">
        <f ca="1">IFERROR(__xludf.DUMMYFUNCTION("IMPORTRANGE(""https://docs.google.com/spreadsheets/d/1SX6NBoVAgQJ6U1MVXOaj8PK2l7WJ3RER9xtqwdhxkhw/edit?usp=sharing"",""ฉะเชิงเทรา!J485"")"),86.27)</f>
        <v>86.27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IFERROR(__xludf.DUMMYFUNCTION("IMPORTRANGE(""https://docs.google.com/spreadsheets/d/1SX6NBoVAgQJ6U1MVXOaj8PK2l7WJ3RER9xtqwdhxkhw/edit?usp=sharing"",""ฉะเชิงเทรา!I486"")"),200)</f>
        <v>200</v>
      </c>
      <c r="J591" s="189">
        <f ca="1">IFERROR(__xludf.DUMMYFUNCTION("IMPORTRANGE(""https://docs.google.com/spreadsheets/d/1SX6NBoVAgQJ6U1MVXOaj8PK2l7WJ3RER9xtqwdhxkhw/edit?usp=sharing"",""ฉะเชิงเทรา!J486"")"),9)</f>
        <v>9</v>
      </c>
      <c r="K591" s="165">
        <f t="shared" ca="1" si="125"/>
        <v>4.5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9">
        <f ca="1">IFERROR(__xludf.DUMMYFUNCTION("IMPORTRANGE(""https://docs.google.com/spreadsheets/d/1SX6NBoVAgQJ6U1MVXOaj8PK2l7WJ3RER9xtqwdhxkhw/edit?usp=sharing"",""ฉะเชิงเทรา!J487"")"),9.96)</f>
        <v>9.9600000000000009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IFERROR(__xludf.DUMMYFUNCTION("IMPORTRANGE(""https://docs.google.com/spreadsheets/d/1SX6NBoVAgQJ6U1MVXOaj8PK2l7WJ3RER9xtqwdhxkhw/edit?usp=sharing"",""ฉะเชิงเทรา!I488"")"),200)</f>
        <v>200</v>
      </c>
      <c r="J593" s="189">
        <f ca="1">IFERROR(__xludf.DUMMYFUNCTION("IMPORTRANGE(""https://docs.google.com/spreadsheets/d/1SX6NBoVAgQJ6U1MVXOaj8PK2l7WJ3RER9xtqwdhxkhw/edit?usp=sharing"",""ฉะเชิงเทรา!J488"")"),0)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9">
        <f ca="1">IFERROR(__xludf.DUMMYFUNCTION("IMPORTRANGE(""https://docs.google.com/spreadsheets/d/1SX6NBoVAgQJ6U1MVXOaj8PK2l7WJ3RER9xtqwdhxkhw/edit?usp=sharing"",""ฉะเชิงเทรา!J489"")"),0)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IFERROR(__xludf.DUMMYFUNCTION("IMPORTRANGE(""https://docs.google.com/spreadsheets/d/1SX6NBoVAgQJ6U1MVXOaj8PK2l7WJ3RER9xtqwdhxkhw/edit?usp=sharing"",""ฉะเชิงเทรา!I490"")"),200)</f>
        <v>200</v>
      </c>
      <c r="J595" s="189">
        <f ca="1">IFERROR(__xludf.DUMMYFUNCTION("IMPORTRANGE(""https://docs.google.com/spreadsheets/d/1SX6NBoVAgQJ6U1MVXOaj8PK2l7WJ3RER9xtqwdhxkhw/edit?usp=sharing"",""ฉะเชิงเทรา!J490"")"),0)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7">
        <f ca="1">IFERROR(__xludf.DUMMYFUNCTION("IMPORTRANGE(""https://docs.google.com/spreadsheets/d/1SX6NBoVAgQJ6U1MVXOaj8PK2l7WJ3RER9xtqwdhxkhw/edit?usp=sharing"",""ฉะเชิงเทรา!J492"")"),0)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IFERROR(__xludf.DUMMYFUNCTION("IMPORTRANGE(""https://docs.google.com/spreadsheets/d/1SX6NBoVAgQJ6U1MVXOaj8PK2l7WJ3RER9xtqwdhxkhw/edit?usp=sharing"",""ฉะเชิงเทรา!M492"")"),900)</f>
        <v>900</v>
      </c>
      <c r="O597" s="412">
        <f t="shared" ref="O597:O601" ca="1" si="126">+IF(L597&gt;0,N597*100/L597,0)</f>
        <v>16.483516483516482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IFERROR(__xludf.DUMMYFUNCTION("IMPORTRANGE(""https://docs.google.com/spreadsheets/d/1SX6NBoVAgQJ6U1MVXOaj8PK2l7WJ3RER9xtqwdhxkhw/edit?usp=sharing"",""ฉะเชิงเทรา!L493"")"),0)</f>
        <v>0</v>
      </c>
      <c r="M598" s="166"/>
      <c r="N598" s="170">
        <f ca="1">IFERROR(__xludf.DUMMYFUNCTION("IMPORTRANGE(""https://docs.google.com/spreadsheets/d/1SX6NBoVAgQJ6U1MVXOaj8PK2l7WJ3RER9xtqwdhxkhw/edit?usp=sharing"",""ฉะเชิงเทรา!M493"")"),0)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IFERROR(__xludf.DUMMYFUNCTION("IMPORTRANGE(""https://docs.google.com/spreadsheets/d/1SX6NBoVAgQJ6U1MVXOaj8PK2l7WJ3RER9xtqwdhxkhw/edit?usp=sharing"",""ฉะเชิงเทรา!L494"")"),5460)</f>
        <v>5460</v>
      </c>
      <c r="M599" s="167"/>
      <c r="N599" s="170">
        <f ca="1">IFERROR(__xludf.DUMMYFUNCTION("IMPORTRANGE(""https://docs.google.com/spreadsheets/d/1SX6NBoVAgQJ6U1MVXOaj8PK2l7WJ3RER9xtqwdhxkhw/edit?usp=sharing"",""ฉะเชิงเทรา!M494"")"),900)</f>
        <v>900</v>
      </c>
      <c r="O599" s="170">
        <f t="shared" ca="1" si="126"/>
        <v>16.483516483516482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IFERROR(__xludf.DUMMYFUNCTION("IMPORTRANGE(""https://docs.google.com/spreadsheets/d/1SX6NBoVAgQJ6U1MVXOaj8PK2l7WJ3RER9xtqwdhxkhw/edit?usp=sharing"",""ฉะเชิงเทรา!L495"")"),0)</f>
        <v>0</v>
      </c>
      <c r="M600" s="170"/>
      <c r="N600" s="170">
        <f ca="1">IFERROR(__xludf.DUMMYFUNCTION("IMPORTRANGE(""https://docs.google.com/spreadsheets/d/1SX6NBoVAgQJ6U1MVXOaj8PK2l7WJ3RER9xtqwdhxkhw/edit?usp=sharing"",""ฉะเชิงเทรา!M495"")"),0)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IFERROR(__xludf.DUMMYFUNCTION("IMPORTRANGE(""https://docs.google.com/spreadsheets/d/1SX6NBoVAgQJ6U1MVXOaj8PK2l7WJ3RER9xtqwdhxkhw/edit?usp=sharing"",""ฉะเชิงเทรา!L496"")"),5460)</f>
        <v>5460</v>
      </c>
      <c r="M601" s="170"/>
      <c r="N601" s="170">
        <f ca="1">IFERROR(__xludf.DUMMYFUNCTION("IMPORTRANGE(""https://docs.google.com/spreadsheets/d/1SX6NBoVAgQJ6U1MVXOaj8PK2l7WJ3RER9xtqwdhxkhw/edit?usp=sharing"",""ฉะเชิงเทรา!M496"")"),900)</f>
        <v>900</v>
      </c>
      <c r="O601" s="170">
        <f t="shared" ca="1" si="126"/>
        <v>16.483516483516482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IFERROR(__xludf.DUMMYFUNCTION("IMPORTRANGE(""https://docs.google.com/spreadsheets/d/1SX6NBoVAgQJ6U1MVXOaj8PK2l7WJ3RER9xtqwdhxkhw/edit?usp=sharing"",""ฉะเชิงเทรา!M497"")"),0)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IFERROR(__xludf.DUMMYFUNCTION("IMPORTRANGE(""https://docs.google.com/spreadsheets/d/1SX6NBoVAgQJ6U1MVXOaj8PK2l7WJ3RER9xtqwdhxkhw/edit?usp=sharing"",""ฉะเชิงเทรา!M498"")"),0)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IFERROR(__xludf.DUMMYFUNCTION("IMPORTRANGE(""https://docs.google.com/spreadsheets/d/1SX6NBoVAgQJ6U1MVXOaj8PK2l7WJ3RER9xtqwdhxkhw/edit?usp=sharing"",""ฉะเชิงเทรา!M500"")"),900)</f>
        <v>900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IFERROR(__xludf.DUMMYFUNCTION("IMPORTRANGE(""https://docs.google.com/spreadsheets/d/1SX6NBoVAgQJ6U1MVXOaj8PK2l7WJ3RER9xtqwdhxkhw/edit?usp=sharing"",""ฉะเชิงเทรา!J502"")"),1)</f>
        <v>1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IFERROR(__xludf.DUMMYFUNCTION("IMPORTRANGE(""https://docs.google.com/spreadsheets/d/1SX6NBoVAgQJ6U1MVXOaj8PK2l7WJ3RER9xtqwdhxkhw/edit?usp=sharing"",""ฉะเชิงเทรา!J503"")"),0)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IFERROR(__xludf.DUMMYFUNCTION("IMPORTRANGE(""https://docs.google.com/spreadsheets/d/1SX6NBoVAgQJ6U1MVXOaj8PK2l7WJ3RER9xtqwdhxkhw/edit?usp=sharing"",""ฉะเชิงเทรา!I506"")"),52)</f>
        <v>52</v>
      </c>
      <c r="J611" s="164">
        <f ca="1">IFERROR(__xludf.DUMMYFUNCTION("IMPORTRANGE(""https://docs.google.com/spreadsheets/d/1SX6NBoVAgQJ6U1MVXOaj8PK2l7WJ3RER9xtqwdhxkhw/edit?usp=sharing"",""ฉะเชิงเทรา!J506"")"),0)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IFERROR(__xludf.DUMMYFUNCTION("IMPORTRANGE(""https://docs.google.com/spreadsheets/d/1SX6NBoVAgQJ6U1MVXOaj8PK2l7WJ3RER9xtqwdhxkhw/edit?usp=sharing"",""ฉะเชิงเทรา!I507"")"),0)</f>
        <v>0</v>
      </c>
      <c r="J612" s="199">
        <f ca="1">IFERROR(__xludf.DUMMYFUNCTION("IMPORTRANGE(""https://docs.google.com/spreadsheets/d/1SX6NBoVAgQJ6U1MVXOaj8PK2l7WJ3RER9xtqwdhxkhw/edit?usp=sharing"",""ฉะเชิงเทรา!J507"")"),0)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IFERROR(__xludf.DUMMYFUNCTION("IMPORTRANGE(""https://docs.google.com/spreadsheets/d/1SX6NBoVAgQJ6U1MVXOaj8PK2l7WJ3RER9xtqwdhxkhw/edit?usp=sharing"",""ฉะเชิงเทรา!I508"")"),0)</f>
        <v>0</v>
      </c>
      <c r="J613" s="199">
        <f ca="1">IFERROR(__xludf.DUMMYFUNCTION("IMPORTRANGE(""https://docs.google.com/spreadsheets/d/1SX6NBoVAgQJ6U1MVXOaj8PK2l7WJ3RER9xtqwdhxkhw/edit?usp=sharing"",""ฉะเชิงเทรา!J508"")"),0)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IFERROR(__xludf.DUMMYFUNCTION("IMPORTRANGE(""https://docs.google.com/spreadsheets/d/1SX6NBoVAgQJ6U1MVXOaj8PK2l7WJ3RER9xtqwdhxkhw/edit?usp=sharing"",""ฉะเชิงเทรา!I509"")"),0)</f>
        <v>0</v>
      </c>
      <c r="J614" s="199">
        <f ca="1">IFERROR(__xludf.DUMMYFUNCTION("IMPORTRANGE(""https://docs.google.com/spreadsheets/d/1SX6NBoVAgQJ6U1MVXOaj8PK2l7WJ3RER9xtqwdhxkhw/edit?usp=sharing"",""ฉะเชิงเทรา!J509"")"),0)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IFERROR(__xludf.DUMMYFUNCTION("IMPORTRANGE(""https://docs.google.com/spreadsheets/d/1SX6NBoVAgQJ6U1MVXOaj8PK2l7WJ3RER9xtqwdhxkhw/edit?usp=sharing"",""ฉะเชิงเทรา!I510"")"),0)</f>
        <v>0</v>
      </c>
      <c r="J615" s="199">
        <f ca="1">IFERROR(__xludf.DUMMYFUNCTION("IMPORTRANGE(""https://docs.google.com/spreadsheets/d/1SX6NBoVAgQJ6U1MVXOaj8PK2l7WJ3RER9xtqwdhxkhw/edit?usp=sharing"",""ฉะเชิงเทรา!J510"")"),0)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IFERROR(__xludf.DUMMYFUNCTION("IMPORTRANGE(""https://docs.google.com/spreadsheets/d/1SX6NBoVAgQJ6U1MVXOaj8PK2l7WJ3RER9xtqwdhxkhw/edit?usp=sharing"",""ฉะเชิงเทรา!I511"")"),0)</f>
        <v>0</v>
      </c>
      <c r="J616" s="199">
        <f ca="1">IFERROR(__xludf.DUMMYFUNCTION("IMPORTRANGE(""https://docs.google.com/spreadsheets/d/1SX6NBoVAgQJ6U1MVXOaj8PK2l7WJ3RER9xtqwdhxkhw/edit?usp=sharing"",""ฉะเชิงเทรา!J511"")"),0)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IFERROR(__xludf.DUMMYFUNCTION("IMPORTRANGE(""https://docs.google.com/spreadsheets/d/1SX6NBoVAgQJ6U1MVXOaj8PK2l7WJ3RER9xtqwdhxkhw/edit?usp=sharing"",""ฉะเชิงเทรา!I512"")"),0)</f>
        <v>0</v>
      </c>
      <c r="J617" s="189">
        <f ca="1">IFERROR(__xludf.DUMMYFUNCTION("IMPORTRANGE(""https://docs.google.com/spreadsheets/d/1SX6NBoVAgQJ6U1MVXOaj8PK2l7WJ3RER9xtqwdhxkhw/edit?usp=sharing"",""ฉะเชิงเทรา!J512"")"),0)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IFERROR(__xludf.DUMMYFUNCTION("IMPORTRANGE(""https://docs.google.com/spreadsheets/d/1SX6NBoVAgQJ6U1MVXOaj8PK2l7WJ3RER9xtqwdhxkhw/edit?usp=sharing"",""ฉะเชิงเทรา!I513"")"),0)</f>
        <v>0</v>
      </c>
      <c r="J618" s="190">
        <f ca="1">IFERROR(__xludf.DUMMYFUNCTION("IMPORTRANGE(""https://docs.google.com/spreadsheets/d/1SX6NBoVAgQJ6U1MVXOaj8PK2l7WJ3RER9xtqwdhxkhw/edit?usp=sharing"",""ฉะเชิงเทรา!J513"")"),0)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IFERROR(__xludf.DUMMYFUNCTION("IMPORTRANGE(""https://docs.google.com/spreadsheets/d/1SX6NBoVAgQJ6U1MVXOaj8PK2l7WJ3RER9xtqwdhxkhw/edit?usp=sharing"",""ฉะเชิงเทรา!I514"")"),0)</f>
        <v>0</v>
      </c>
      <c r="J619" s="190">
        <f ca="1">IFERROR(__xludf.DUMMYFUNCTION("IMPORTRANGE(""https://docs.google.com/spreadsheets/d/1SX6NBoVAgQJ6U1MVXOaj8PK2l7WJ3RER9xtqwdhxkhw/edit?usp=sharing"",""ฉะเชิงเทรา!J514"")"),0)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IFERROR(__xludf.DUMMYFUNCTION("IMPORTRANGE(""https://docs.google.com/spreadsheets/d/1SX6NBoVAgQJ6U1MVXOaj8PK2l7WJ3RER9xtqwdhxkhw/edit?usp=sharing"",""ฉะเชิงเทรา!I515"")"),0)</f>
        <v>0</v>
      </c>
      <c r="J620" s="204">
        <f ca="1">IFERROR(__xludf.DUMMYFUNCTION("IMPORTRANGE(""https://docs.google.com/spreadsheets/d/1SX6NBoVAgQJ6U1MVXOaj8PK2l7WJ3RER9xtqwdhxkhw/edit?usp=sharing"",""ฉะเชิงเทรา!J515"")"),0)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IFERROR(__xludf.DUMMYFUNCTION("IMPORTRANGE(""https://docs.google.com/spreadsheets/d/1SX6NBoVAgQJ6U1MVXOaj8PK2l7WJ3RER9xtqwdhxkhw/edit?usp=sharing"",""ฉะเชิงเทรา!I516"")"),0)</f>
        <v>0</v>
      </c>
      <c r="J621" s="204">
        <f ca="1">IFERROR(__xludf.DUMMYFUNCTION("IMPORTRANGE(""https://docs.google.com/spreadsheets/d/1SX6NBoVAgQJ6U1MVXOaj8PK2l7WJ3RER9xtqwdhxkhw/edit?usp=sharing"",""ฉะเชิงเทรา!J516"")"),0)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IFERROR(__xludf.DUMMYFUNCTION("IMPORTRANGE(""https://docs.google.com/spreadsheets/d/1SX6NBoVAgQJ6U1MVXOaj8PK2l7WJ3RER9xtqwdhxkhw/edit?usp=sharing"",""ฉะเชิงเทรา!I517"")"),0)</f>
        <v>0</v>
      </c>
      <c r="J622" s="190">
        <f ca="1">IFERROR(__xludf.DUMMYFUNCTION("IMPORTRANGE(""https://docs.google.com/spreadsheets/d/1SX6NBoVAgQJ6U1MVXOaj8PK2l7WJ3RER9xtqwdhxkhw/edit?usp=sharing"",""ฉะเชิงเทรา!J517"")"),0)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IFERROR(__xludf.DUMMYFUNCTION("IMPORTRANGE(""https://docs.google.com/spreadsheets/d/1SX6NBoVAgQJ6U1MVXOaj8PK2l7WJ3RER9xtqwdhxkhw/edit?usp=sharing"",""ฉะเชิงเทรา!I518"")"),0)</f>
        <v>0</v>
      </c>
      <c r="J623" s="190">
        <f ca="1">IFERROR(__xludf.DUMMYFUNCTION("IMPORTRANGE(""https://docs.google.com/spreadsheets/d/1SX6NBoVAgQJ6U1MVXOaj8PK2l7WJ3RER9xtqwdhxkhw/edit?usp=sharing"",""ฉะเชิงเทรา!J518"")"),0)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IFERROR(__xludf.DUMMYFUNCTION("IMPORTRANGE(""https://docs.google.com/spreadsheets/d/1SX6NBoVAgQJ6U1MVXOaj8PK2l7WJ3RER9xtqwdhxkhw/edit?usp=sharing"",""ฉะเชิงเทรา!I519"")"),0)</f>
        <v>0</v>
      </c>
      <c r="J624" s="189">
        <f ca="1">IFERROR(__xludf.DUMMYFUNCTION("IMPORTRANGE(""https://docs.google.com/spreadsheets/d/1SX6NBoVAgQJ6U1MVXOaj8PK2l7WJ3RER9xtqwdhxkhw/edit?usp=sharing"",""ฉะเชิงเทรา!J519"")"),0)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IFERROR(__xludf.DUMMYFUNCTION("IMPORTRANGE(""https://docs.google.com/spreadsheets/d/1SX6NBoVAgQJ6U1MVXOaj8PK2l7WJ3RER9xtqwdhxkhw/edit?usp=sharing"",""ฉะเชิงเทรา!I520"")"),0)</f>
        <v>0</v>
      </c>
      <c r="J625" s="190">
        <f ca="1">IFERROR(__xludf.DUMMYFUNCTION("IMPORTRANGE(""https://docs.google.com/spreadsheets/d/1SX6NBoVAgQJ6U1MVXOaj8PK2l7WJ3RER9xtqwdhxkhw/edit?usp=sharing"",""ฉะเชิงเทรา!J520"")"),0)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IFERROR(__xludf.DUMMYFUNCTION("IMPORTRANGE(""https://docs.google.com/spreadsheets/d/1SX6NBoVAgQJ6U1MVXOaj8PK2l7WJ3RER9xtqwdhxkhw/edit?usp=sharing"",""ฉะเชิงเทรา!I521"")"),0)</f>
        <v>0</v>
      </c>
      <c r="J626" s="190">
        <f ca="1">IFERROR(__xludf.DUMMYFUNCTION("IMPORTRANGE(""https://docs.google.com/spreadsheets/d/1SX6NBoVAgQJ6U1MVXOaj8PK2l7WJ3RER9xtqwdhxkhw/edit?usp=sharing"",""ฉะเชิงเทรา!J521"")"),0)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1">
        <f ca="1">IFERROR(__xludf.DUMMYFUNCTION("IMPORTRANGE(""https://docs.google.com/spreadsheets/d/1SX6NBoVAgQJ6U1MVXOaj8PK2l7WJ3RER9xtqwdhxkhw/edit?usp=sharing"",""ฉะเชิงเทรา!J523"")"),1617287.69)</f>
        <v>1617287.69</v>
      </c>
      <c r="K628" s="342">
        <f t="shared" ref="K628:K635" ca="1" si="129">IF(I628&gt;0,J628*100/I628,0)</f>
        <v>42.094536323669573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IFERROR(__xludf.DUMMYFUNCTION("IMPORTRANGE(""https://docs.google.com/spreadsheets/d/1SX6NBoVAgQJ6U1MVXOaj8PK2l7WJ3RER9xtqwdhxkhw/edit?usp=sharing"",""ฉะเชิงเทรา!I524"")"),157)</f>
        <v>157</v>
      </c>
      <c r="J629" s="341">
        <f ca="1">IFERROR(__xludf.DUMMYFUNCTION("IMPORTRANGE(""https://docs.google.com/spreadsheets/d/1SX6NBoVAgQJ6U1MVXOaj8PK2l7WJ3RER9xtqwdhxkhw/edit?usp=sharing"",""ฉะเชิงเทรา!J524"")"),68)</f>
        <v>68</v>
      </c>
      <c r="K629" s="342">
        <f t="shared" ca="1" si="129"/>
        <v>43.312101910828027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1">
        <f ca="1">IFERROR(__xludf.DUMMYFUNCTION("IMPORTRANGE(""https://docs.google.com/spreadsheets/d/1SX6NBoVAgQJ6U1MVXOaj8PK2l7WJ3RER9xtqwdhxkhw/edit?usp=sharing"",""ฉะเชิงเทรา!J525"")"),676266.86)</f>
        <v>676266.86</v>
      </c>
      <c r="K630" s="342">
        <f t="shared" ca="1" si="129"/>
        <v>6.4935841545686497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IFERROR(__xludf.DUMMYFUNCTION("IMPORTRANGE(""https://docs.google.com/spreadsheets/d/1SX6NBoVAgQJ6U1MVXOaj8PK2l7WJ3RER9xtqwdhxkhw/edit?usp=sharing"",""ฉะเชิงเทรา!I526"")"),275)</f>
        <v>275</v>
      </c>
      <c r="J631" s="341">
        <f ca="1">IFERROR(__xludf.DUMMYFUNCTION("IMPORTRANGE(""https://docs.google.com/spreadsheets/d/1SX6NBoVAgQJ6U1MVXOaj8PK2l7WJ3RER9xtqwdhxkhw/edit?usp=sharing"",""ฉะเชิงเทรา!J526"")"),66)</f>
        <v>66</v>
      </c>
      <c r="K631" s="342">
        <f t="shared" ca="1" si="129"/>
        <v>24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1">
        <f ca="1">IFERROR(__xludf.DUMMYFUNCTION("IMPORTRANGE(""https://docs.google.com/spreadsheets/d/1SX6NBoVAgQJ6U1MVXOaj8PK2l7WJ3RER9xtqwdhxkhw/edit?usp=sharing"",""ฉะเชิงเทรา!J527"")"),869436.09)</f>
        <v>869436.09</v>
      </c>
      <c r="K632" s="342">
        <f t="shared" ca="1" si="129"/>
        <v>15.344356644662765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IFERROR(__xludf.DUMMYFUNCTION("IMPORTRANGE(""https://docs.google.com/spreadsheets/d/1SX6NBoVAgQJ6U1MVXOaj8PK2l7WJ3RER9xtqwdhxkhw/edit?usp=sharing"",""ฉะเชิงเทรา!I528"")"),2632)</f>
        <v>2632</v>
      </c>
      <c r="J633" s="341">
        <f ca="1">IFERROR(__xludf.DUMMYFUNCTION("IMPORTRANGE(""https://docs.google.com/spreadsheets/d/1SX6NBoVAgQJ6U1MVXOaj8PK2l7WJ3RER9xtqwdhxkhw/edit?usp=sharing"",""ฉะเชิงเทรา!J528"")"),416)</f>
        <v>416</v>
      </c>
      <c r="K633" s="342">
        <f t="shared" ca="1" si="129"/>
        <v>15.805471124620061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1">
        <f ca="1">IFERROR(__xludf.DUMMYFUNCTION("IMPORTRANGE(""https://docs.google.com/spreadsheets/d/1SX6NBoVAgQJ6U1MVXOaj8PK2l7WJ3RER9xtqwdhxkhw/edit?usp=sharing"",""ฉะเชิงเทรา!J529"")"),1200000)</f>
        <v>1200000</v>
      </c>
      <c r="K634" s="342">
        <f t="shared" ca="1" si="129"/>
        <v>40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IFERROR(__xludf.DUMMYFUNCTION("IMPORTRANGE(""https://docs.google.com/spreadsheets/d/1SX6NBoVAgQJ6U1MVXOaj8PK2l7WJ3RER9xtqwdhxkhw/edit?usp=sharing"",""ฉะเชิงเทรา!I530"")"),100)</f>
        <v>100</v>
      </c>
      <c r="J635" s="504">
        <f ca="1">IFERROR(__xludf.DUMMYFUNCTION("IMPORTRANGE(""https://docs.google.com/spreadsheets/d/1SX6NBoVAgQJ6U1MVXOaj8PK2l7WJ3RER9xtqwdhxkhw/edit?usp=sharing"",""ฉะเชิงเทรา!J530"")"),38)</f>
        <v>38</v>
      </c>
      <c r="K635" s="486">
        <f t="shared" ca="1" si="129"/>
        <v>38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G561" sqref="G56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244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5289494</v>
      </c>
      <c r="M8" s="23">
        <f t="shared" ca="1" si="0"/>
        <v>2210573</v>
      </c>
      <c r="N8" s="23">
        <f t="shared" ca="1" si="0"/>
        <v>2154383.85</v>
      </c>
      <c r="O8" s="22">
        <f t="shared" ref="O8:O16" ca="1" si="1">IF(L8&gt;0,N8*100/L8,0)</f>
        <v>40.729488491715841</v>
      </c>
      <c r="P8" s="22">
        <f t="shared" ref="P8:P16" ca="1" si="2">IF(M8&gt;0,N8*100/M8,0)</f>
        <v>97.45816356211715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5289494</v>
      </c>
      <c r="M10" s="30">
        <f t="shared" ca="1" si="4"/>
        <v>2210573</v>
      </c>
      <c r="N10" s="30">
        <f t="shared" ca="1" si="4"/>
        <v>2154383.85</v>
      </c>
      <c r="O10" s="29">
        <f t="shared" ca="1" si="1"/>
        <v>40.729488491715841</v>
      </c>
      <c r="P10" s="29">
        <f t="shared" ca="1" si="2"/>
        <v>97.45816356211715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4803094</v>
      </c>
      <c r="M12" s="38">
        <f t="shared" ca="1" si="6"/>
        <v>1724173</v>
      </c>
      <c r="N12" s="38">
        <f t="shared" ca="1" si="6"/>
        <v>1667983.85</v>
      </c>
      <c r="O12" s="38">
        <f t="shared" ca="1" si="1"/>
        <v>34.727278916465096</v>
      </c>
      <c r="P12" s="38">
        <f t="shared" ca="1" si="2"/>
        <v>96.741095586115776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2936994</v>
      </c>
      <c r="M14" s="38">
        <f t="shared" si="8"/>
        <v>0</v>
      </c>
      <c r="N14" s="38">
        <f t="shared" ca="1" si="8"/>
        <v>228313.85</v>
      </c>
      <c r="O14" s="38">
        <f t="shared" ca="1" si="1"/>
        <v>7.7737254485368377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486400</v>
      </c>
      <c r="M16" s="38">
        <f t="shared" ca="1" si="10"/>
        <v>486400</v>
      </c>
      <c r="N16" s="38">
        <f t="shared" ca="1" si="10"/>
        <v>486400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3682960</v>
      </c>
      <c r="M18" s="23">
        <f t="shared" ca="1" si="11"/>
        <v>2210573</v>
      </c>
      <c r="N18" s="23">
        <f t="shared" ca="1" si="11"/>
        <v>1926070</v>
      </c>
      <c r="O18" s="22">
        <f t="shared" ref="O18:O20" ca="1" si="12">IF(L18&gt;0,N18*100/L18,0)</f>
        <v>52.296793883180918</v>
      </c>
      <c r="P18" s="22">
        <f t="shared" ref="P18:P26" ca="1" si="13">IF(M18&gt;0,N18*100/M18,0)</f>
        <v>87.129897994773302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3682960</v>
      </c>
      <c r="M20" s="30">
        <f t="shared" ca="1" si="15"/>
        <v>2210573</v>
      </c>
      <c r="N20" s="30">
        <f t="shared" ca="1" si="15"/>
        <v>1926070</v>
      </c>
      <c r="O20" s="29">
        <f t="shared" ca="1" si="12"/>
        <v>52.296793883180918</v>
      </c>
      <c r="P20" s="29">
        <f t="shared" ca="1" si="13"/>
        <v>87.129897994773302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3196560</v>
      </c>
      <c r="M22" s="41">
        <f t="shared" ca="1" si="18"/>
        <v>1724173</v>
      </c>
      <c r="N22" s="38">
        <f t="shared" ca="1" si="18"/>
        <v>1439670</v>
      </c>
      <c r="O22" s="38">
        <f t="shared" ca="1" si="17"/>
        <v>45.038103461220814</v>
      </c>
      <c r="P22" s="38">
        <f t="shared" ca="1" si="13"/>
        <v>83.499161627052501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486400</v>
      </c>
      <c r="M26" s="49">
        <f t="shared" ca="1" si="22"/>
        <v>486400</v>
      </c>
      <c r="N26" s="49">
        <f t="shared" ca="1" si="22"/>
        <v>486400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1606534</v>
      </c>
      <c r="M28" s="23">
        <f t="shared" si="23"/>
        <v>0</v>
      </c>
      <c r="N28" s="23">
        <f t="shared" ca="1" si="23"/>
        <v>228313.85</v>
      </c>
      <c r="O28" s="22">
        <f t="shared" ref="O28:O30" ca="1" si="24">IF(L28&gt;0,N28*100/L28,0)</f>
        <v>14.211579088895721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1606534</v>
      </c>
      <c r="M30" s="30">
        <f t="shared" si="27"/>
        <v>0</v>
      </c>
      <c r="N30" s="30">
        <f t="shared" ca="1" si="27"/>
        <v>228313.85</v>
      </c>
      <c r="O30" s="29">
        <f t="shared" ca="1" si="24"/>
        <v>14.211579088895721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1606534</v>
      </c>
      <c r="M32" s="38">
        <f t="shared" si="30"/>
        <v>0</v>
      </c>
      <c r="N32" s="38">
        <f t="shared" ca="1" si="30"/>
        <v>228313.85</v>
      </c>
      <c r="O32" s="38">
        <f t="shared" ca="1" si="29"/>
        <v>14.211579088895721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1606534</v>
      </c>
      <c r="M34" s="38">
        <f t="shared" si="32"/>
        <v>0</v>
      </c>
      <c r="N34" s="38">
        <f t="shared" ca="1" si="32"/>
        <v>228313.85</v>
      </c>
      <c r="O34" s="38">
        <f t="shared" ca="1" si="29"/>
        <v>14.211579088895721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3682960</v>
      </c>
      <c r="M37" s="54">
        <f t="shared" ca="1" si="33"/>
        <v>2210573</v>
      </c>
      <c r="N37" s="54">
        <f t="shared" ca="1" si="33"/>
        <v>1926070</v>
      </c>
      <c r="O37" s="55">
        <f t="shared" ca="1" si="29"/>
        <v>52.296793883180918</v>
      </c>
      <c r="P37" s="55">
        <f t="shared" ca="1" si="25"/>
        <v>87.129897994773302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1071100</v>
      </c>
      <c r="M41" s="78">
        <f t="shared" ca="1" si="34"/>
        <v>719100</v>
      </c>
      <c r="N41" s="78">
        <f t="shared" ca="1" si="34"/>
        <v>689276</v>
      </c>
      <c r="O41" s="77">
        <f t="shared" ref="O41:O43" ca="1" si="35">IF(L41&gt;0,N41*100/L41,0)</f>
        <v>64.35216132947437</v>
      </c>
      <c r="P41" s="77">
        <f t="shared" ref="P41:P43" ca="1" si="36">IF(M41&gt;0,N41*100/M41,0)</f>
        <v>95.85259351967737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1071100</v>
      </c>
      <c r="M43" s="78">
        <f t="shared" ca="1" si="38"/>
        <v>719100</v>
      </c>
      <c r="N43" s="78">
        <f t="shared" ca="1" si="38"/>
        <v>689276</v>
      </c>
      <c r="O43" s="77">
        <f t="shared" ca="1" si="35"/>
        <v>64.35216132947437</v>
      </c>
      <c r="P43" s="77">
        <f t="shared" ca="1" si="36"/>
        <v>95.85259351967737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IFERROR(__xludf.DUMMYFUNCTION("IMPORTRANGE(""https://docs.google.com/spreadsheets/d/1Yj_ptqi66GCucihVvJfMjLAmec39IyEx_6qawtMGysU/edit?usp=sharing"",""สบก!Q62"")"),352100)</f>
        <v>352100</v>
      </c>
      <c r="N45" s="49">
        <f ca="1">IFERROR(__xludf.DUMMYFUNCTION("IMPORTRANGE(""https://docs.google.com/spreadsheets/d/1Yj_ptqi66GCucihVvJfMjLAmec39IyEx_6qawtMGysU/edit?usp=sharing"",""สบก!R62"")"),322276)</f>
        <v>322276</v>
      </c>
      <c r="O45" s="38">
        <f ca="1">IF(L45&gt;0,N45*100/L45,0)</f>
        <v>45.771339298395112</v>
      </c>
      <c r="P45" s="38">
        <f ca="1">IF(M45&gt;0,N45*100/M45,0)</f>
        <v>91.52967906844647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IFERROR(__xludf.DUMMYFUNCTION("IMPORTRANGE(""https://docs.google.com/spreadsheets/d/1Yj_ptqi66GCucihVvJfMjLAmec39IyEx_6qawtMGysU/edit?usp=sharing"",""สบก!O62"")"),367000)</f>
        <v>367000</v>
      </c>
      <c r="M49" s="49">
        <f ca="1">L49</f>
        <v>367000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289633</v>
      </c>
      <c r="N53" s="121">
        <f t="shared" ca="1" si="39"/>
        <v>283872</v>
      </c>
      <c r="O53" s="120">
        <f t="shared" ref="O53:O55" ca="1" si="40">IF(L53&gt;0,N53*100/L53,0)</f>
        <v>50.691428571428574</v>
      </c>
      <c r="P53" s="120">
        <f t="shared" ref="P53:P55" ca="1" si="41">IF(M53&gt;0,N53*100/M53,0)</f>
        <v>98.010931074842986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289633</v>
      </c>
      <c r="N55" s="121">
        <f t="shared" ca="1" si="43"/>
        <v>283872</v>
      </c>
      <c r="O55" s="120">
        <f t="shared" ca="1" si="40"/>
        <v>50.691428571428574</v>
      </c>
      <c r="P55" s="120">
        <f t="shared" ca="1" si="41"/>
        <v>98.010931074842986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IFERROR(__xludf.DUMMYFUNCTION("IMPORTRANGE(""https://docs.google.com/spreadsheets/d/1Yj_ptqi66GCucihVvJfMjLAmec39IyEx_6qawtMGysU/edit?usp=sharing"",""สบก!Z62"")"),289633)</f>
        <v>289633</v>
      </c>
      <c r="N57" s="49">
        <f ca="1">IFERROR(__xludf.DUMMYFUNCTION("IMPORTRANGE(""https://docs.google.com/spreadsheets/d/1Yj_ptqi66GCucihVvJfMjLAmec39IyEx_6qawtMGysU/edit?usp=sharing"",""สบก!AA62"")"),283872)</f>
        <v>283872</v>
      </c>
      <c r="O57" s="38">
        <f ca="1">IF(L57&gt;0,N57*100/L57,0)</f>
        <v>50.691428571428574</v>
      </c>
      <c r="P57" s="38">
        <f ca="1">IF(M57&gt;0,N57*100/M57,0)</f>
        <v>98.010931074842986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IFERROR(__xludf.DUMMYFUNCTION("IMPORTRANGE(""https://docs.google.com/spreadsheets/d/1Yj_ptqi66GCucihVvJfMjLAmec39IyEx_6qawtMGysU/edit?usp=sharing"",""สบก!AI62"")"),0)</f>
        <v>0</v>
      </c>
      <c r="N70" s="170">
        <f ca="1">IFERROR(__xludf.DUMMYFUNCTION("IMPORTRANGE(""https://docs.google.com/spreadsheets/d/1Yj_ptqi66GCucihVvJfMjLAmec39IyEx_6qawtMGysU/edit?usp=sharing"",""สบก!AJ62"")"),0)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IFERROR(__xludf.DUMMYFUNCTION("IMPORTRANGE(""https://docs.google.com/spreadsheets/d/1Yj_ptqi66GCucihVvJfMjLAmec39IyEx_6qawtMGysU/edit?usp=sharing"",""สบก!AE62"")"),0)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IFERROR(__xludf.DUMMYFUNCTION("IMPORTRANGE(""https://docs.google.com/spreadsheets/d/1Yj_ptqi66GCucihVvJfMjLAmec39IyEx_6qawtMGysU/edit?usp=sharing"",""สบก!AF62"")"),0)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IFERROR(__xludf.DUMMYFUNCTION("IMPORTRANGE(""https://docs.google.com/spreadsheets/d/1SX6NBoVAgQJ6U1MVXOaj8PK2l7WJ3RER9xtqwdhxkhw/edit?usp=sharing"",""ชลบุรี!J16"")"),0)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IFERROR(__xludf.DUMMYFUNCTION("IMPORTRANGE(""https://docs.google.com/spreadsheets/d/1SX6NBoVAgQJ6U1MVXOaj8PK2l7WJ3RER9xtqwdhxkhw/edit?usp=sharing"",""ชลบุรี!J17"")"),0)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IFERROR(__xludf.DUMMYFUNCTION("IMPORTRANGE(""https://docs.google.com/spreadsheets/d/1SX6NBoVAgQJ6U1MVXOaj8PK2l7WJ3RER9xtqwdhxkhw/edit?usp=sharing"",""ชลบุรี!J18"")"),0)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IFERROR(__xludf.DUMMYFUNCTION("IMPORTRANGE(""https://docs.google.com/spreadsheets/d/1SX6NBoVAgQJ6U1MVXOaj8PK2l7WJ3RER9xtqwdhxkhw/edit?usp=sharing"",""ชลบุรี!J19"")"),0)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IFERROR(__xludf.DUMMYFUNCTION("IMPORTRANGE(""https://docs.google.com/spreadsheets/d/1SX6NBoVAgQJ6U1MVXOaj8PK2l7WJ3RER9xtqwdhxkhw/edit?usp=sharing"",""ชลบุรี!I20"")"),0)</f>
        <v>0</v>
      </c>
      <c r="J80" s="202">
        <f ca="1">IFERROR(__xludf.DUMMYFUNCTION("IMPORTRANGE(""https://docs.google.com/spreadsheets/d/1SX6NBoVAgQJ6U1MVXOaj8PK2l7WJ3RER9xtqwdhxkhw/edit?usp=sharing"",""ชลบุรี!J20"")"),0)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IFERROR(__xludf.DUMMYFUNCTION("IMPORTRANGE(""https://docs.google.com/spreadsheets/d/1SX6NBoVAgQJ6U1MVXOaj8PK2l7WJ3RER9xtqwdhxkhw/edit?usp=sharing"",""ชลบุรี!I21"")"),0)</f>
        <v>0</v>
      </c>
      <c r="J81" s="202">
        <f ca="1">IFERROR(__xludf.DUMMYFUNCTION("IMPORTRANGE(""https://docs.google.com/spreadsheets/d/1SX6NBoVAgQJ6U1MVXOaj8PK2l7WJ3RER9xtqwdhxkhw/edit?usp=sharing"",""ชลบุรี!J21"")"),0)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IFERROR(__xludf.DUMMYFUNCTION("IMPORTRANGE(""https://docs.google.com/spreadsheets/d/1SX6NBoVAgQJ6U1MVXOaj8PK2l7WJ3RER9xtqwdhxkhw/edit?usp=sharing"",""ชลบุรี!I22"")"),0)</f>
        <v>0</v>
      </c>
      <c r="J82" s="205">
        <f ca="1">IFERROR(__xludf.DUMMYFUNCTION("IMPORTRANGE(""https://docs.google.com/spreadsheets/d/1SX6NBoVAgQJ6U1MVXOaj8PK2l7WJ3RER9xtqwdhxkhw/edit?usp=sharing"",""ชลบุรี!J22"")"),0)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IFERROR(__xludf.DUMMYFUNCTION("IMPORTRANGE(""https://docs.google.com/spreadsheets/d/1SX6NBoVAgQJ6U1MVXOaj8PK2l7WJ3RER9xtqwdhxkhw/edit?usp=sharing"",""ชลบุรี!I23"")"),0)</f>
        <v>0</v>
      </c>
      <c r="J83" s="205">
        <f ca="1">IFERROR(__xludf.DUMMYFUNCTION("IMPORTRANGE(""https://docs.google.com/spreadsheets/d/1SX6NBoVAgQJ6U1MVXOaj8PK2l7WJ3RER9xtqwdhxkhw/edit?usp=sharing"",""ชลบุรี!J23"")"),0)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IFERROR(__xludf.DUMMYFUNCTION("IMPORTRANGE(""https://docs.google.com/spreadsheets/d/1SX6NBoVAgQJ6U1MVXOaj8PK2l7WJ3RER9xtqwdhxkhw/edit?usp=sharing"",""ชลบุรี!I24"")"),0)</f>
        <v>0</v>
      </c>
      <c r="J84" s="190">
        <f ca="1">IFERROR(__xludf.DUMMYFUNCTION("IMPORTRANGE(""https://docs.google.com/spreadsheets/d/1SX6NBoVAgQJ6U1MVXOaj8PK2l7WJ3RER9xtqwdhxkhw/edit?usp=sharing"",""ชลบุรี!J24"")"),0)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IFERROR(__xludf.DUMMYFUNCTION("IMPORTRANGE(""https://docs.google.com/spreadsheets/d/1SX6NBoVAgQJ6U1MVXOaj8PK2l7WJ3RER9xtqwdhxkhw/edit?usp=sharing"",""ชลบุรี!I25"")"),0)</f>
        <v>0</v>
      </c>
      <c r="J85" s="190">
        <f ca="1">IFERROR(__xludf.DUMMYFUNCTION("IMPORTRANGE(""https://docs.google.com/spreadsheets/d/1SX6NBoVAgQJ6U1MVXOaj8PK2l7WJ3RER9xtqwdhxkhw/edit?usp=sharing"",""ชลบุรี!J25"")"),0)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IFERROR(__xludf.DUMMYFUNCTION("IMPORTRANGE(""https://docs.google.com/spreadsheets/d/1SX6NBoVAgQJ6U1MVXOaj8PK2l7WJ3RER9xtqwdhxkhw/edit?usp=sharing"",""ชลบุรี!I26"")"),0)</f>
        <v>0</v>
      </c>
      <c r="J86" s="205">
        <f ca="1">IFERROR(__xludf.DUMMYFUNCTION("IMPORTRANGE(""https://docs.google.com/spreadsheets/d/1SX6NBoVAgQJ6U1MVXOaj8PK2l7WJ3RER9xtqwdhxkhw/edit?usp=sharing"",""ชลบุรี!J26"")"),0)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IFERROR(__xludf.DUMMYFUNCTION("IMPORTRANGE(""https://docs.google.com/spreadsheets/d/1SX6NBoVAgQJ6U1MVXOaj8PK2l7WJ3RER9xtqwdhxkhw/edit?usp=sharing"",""ชลบุรี!I27"")"),0)</f>
        <v>0</v>
      </c>
      <c r="J87" s="205">
        <f ca="1">IFERROR(__xludf.DUMMYFUNCTION("IMPORTRANGE(""https://docs.google.com/spreadsheets/d/1SX6NBoVAgQJ6U1MVXOaj8PK2l7WJ3RER9xtqwdhxkhw/edit?usp=sharing"",""ชลบุรี!J27"")"),0)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IFERROR(__xludf.DUMMYFUNCTION("IMPORTRANGE(""https://docs.google.com/spreadsheets/d/1SX6NBoVAgQJ6U1MVXOaj8PK2l7WJ3RER9xtqwdhxkhw/edit?usp=sharing"",""ชลบุรี!I28"")"),0)</f>
        <v>0</v>
      </c>
      <c r="J88" s="205">
        <f ca="1">IFERROR(__xludf.DUMMYFUNCTION("IMPORTRANGE(""https://docs.google.com/spreadsheets/d/1SX6NBoVAgQJ6U1MVXOaj8PK2l7WJ3RER9xtqwdhxkhw/edit?usp=sharing"",""ชลบุรี!J28"")"),0)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IFERROR(__xludf.DUMMYFUNCTION("IMPORTRANGE(""https://docs.google.com/spreadsheets/d/1SX6NBoVAgQJ6U1MVXOaj8PK2l7WJ3RER9xtqwdhxkhw/edit?usp=sharing"",""ชลบุรี!J29"")"),0)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133949</v>
      </c>
      <c r="O94" s="151">
        <f t="shared" ref="O94:O96" ca="1" si="53">IF(L94&gt;0,N94*100/L94,0)</f>
        <v>62.447086247086247</v>
      </c>
      <c r="P94" s="151">
        <f t="shared" ref="P94:P96" ca="1" si="54">IF(M94&gt;0,N94*100/M94,0)</f>
        <v>83.131012226152791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133949</v>
      </c>
      <c r="O96" s="156">
        <f t="shared" ca="1" si="53"/>
        <v>62.447086247086247</v>
      </c>
      <c r="P96" s="156">
        <f t="shared" ca="1" si="54"/>
        <v>83.131012226152791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IFERROR(__xludf.DUMMYFUNCTION("IMPORTRANGE(""https://docs.google.com/spreadsheets/d/1Yj_ptqi66GCucihVvJfMjLAmec39IyEx_6qawtMGysU/edit?usp=sharing"",""สบก!AR62"")"),68730)</f>
        <v>68730</v>
      </c>
      <c r="N98" s="170">
        <f ca="1">IFERROR(__xludf.DUMMYFUNCTION("IMPORTRANGE(""https://docs.google.com/spreadsheets/d/1Yj_ptqi66GCucihVvJfMjLAmec39IyEx_6qawtMGysU/edit?usp=sharing"",""สบก!AS62"")"),41549)</f>
        <v>41549</v>
      </c>
      <c r="O98" s="170">
        <f ca="1">IF(L98&gt;0,N98*100/L98,0)</f>
        <v>34.028665028665031</v>
      </c>
      <c r="P98" s="170">
        <f ca="1">IF(M98&gt;0,N98*100/M98,0)</f>
        <v>60.452495271351665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IFERROR(__xludf.DUMMYFUNCTION("IMPORTRANGE(""https://docs.google.com/spreadsheets/d/1Yj_ptqi66GCucihVvJfMjLAmec39IyEx_6qawtMGysU/edit?usp=sharing"",""สบก!AN62"")"),0)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IFERROR(__xludf.DUMMYFUNCTION("IMPORTRANGE(""https://docs.google.com/spreadsheets/d/1Yj_ptqi66GCucihVvJfMjLAmec39IyEx_6qawtMGysU/edit?usp=sharing"",""สบก!AO62"")"),122100)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IFERROR(__xludf.DUMMYFUNCTION("IMPORTRANGE(""https://docs.google.com/spreadsheets/d/1SX6NBoVAgQJ6U1MVXOaj8PK2l7WJ3RER9xtqwdhxkhw/edit?usp=sharing"",""ชลบุรี!J40"")"),1)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IFERROR(__xludf.DUMMYFUNCTION("IMPORTRANGE(""https://docs.google.com/spreadsheets/d/1SX6NBoVAgQJ6U1MVXOaj8PK2l7WJ3RER9xtqwdhxkhw/edit?usp=sharing"",""ชลบุรี!J41"")"),1)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IFERROR(__xludf.DUMMYFUNCTION("IMPORTRANGE(""https://docs.google.com/spreadsheets/d/1SX6NBoVAgQJ6U1MVXOaj8PK2l7WJ3RER9xtqwdhxkhw/edit?usp=sharing"",""ชลบุรี!J42"")"),0)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IFERROR(__xludf.DUMMYFUNCTION("IMPORTRANGE(""https://docs.google.com/spreadsheets/d/1SX6NBoVAgQJ6U1MVXOaj8PK2l7WJ3RER9xtqwdhxkhw/edit?usp=sharing"",""ชลบุรี!I43"")"),1)</f>
        <v>1</v>
      </c>
      <c r="J108" s="205">
        <f ca="1">IFERROR(__xludf.DUMMYFUNCTION("IMPORTRANGE(""https://docs.google.com/spreadsheets/d/1SX6NBoVAgQJ6U1MVXOaj8PK2l7WJ3RER9xtqwdhxkhw/edit?usp=sharing"",""ชลบุรี!J43"")"),0)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IFERROR(__xludf.DUMMYFUNCTION("IMPORTRANGE(""https://docs.google.com/spreadsheets/d/1SX6NBoVAgQJ6U1MVXOaj8PK2l7WJ3RER9xtqwdhxkhw/edit?usp=sharing"",""ชลบุรี!I44"")"),4)</f>
        <v>4</v>
      </c>
      <c r="J109" s="205">
        <f ca="1">IFERROR(__xludf.DUMMYFUNCTION("IMPORTRANGE(""https://docs.google.com/spreadsheets/d/1SX6NBoVAgQJ6U1MVXOaj8PK2l7WJ3RER9xtqwdhxkhw/edit?usp=sharing"",""ชลบุรี!J44"")"),0)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IFERROR(__xludf.DUMMYFUNCTION("IMPORTRANGE(""https://docs.google.com/spreadsheets/d/1SX6NBoVAgQJ6U1MVXOaj8PK2l7WJ3RER9xtqwdhxkhw/edit?usp=sharing"",""ชลบุรี!I45"")"),4)</f>
        <v>4</v>
      </c>
      <c r="J110" s="205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IFERROR(__xludf.DUMMYFUNCTION("IMPORTRANGE(""https://docs.google.com/spreadsheets/d/1SX6NBoVAgQJ6U1MVXOaj8PK2l7WJ3RER9xtqwdhxkhw/edit?usp=sharing"",""ชลบุรี!I46"")"),4)</f>
        <v>4</v>
      </c>
      <c r="J111" s="205">
        <f ca="1">IFERROR(__xludf.DUMMYFUNCTION("IMPORTRANGE(""https://docs.google.com/spreadsheets/d/1SX6NBoVAgQJ6U1MVXOaj8PK2l7WJ3RER9xtqwdhxkhw/edit?usp=sharing"",""ชลบุรี!J46"")"),0)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IFERROR(__xludf.DUMMYFUNCTION("IMPORTRANGE(""https://docs.google.com/spreadsheets/d/1SX6NBoVAgQJ6U1MVXOaj8PK2l7WJ3RER9xtqwdhxkhw/edit?usp=sharing"",""ชลบุรี!I47"")"),4)</f>
        <v>4</v>
      </c>
      <c r="J112" s="205">
        <f ca="1">IFERROR(__xludf.DUMMYFUNCTION("IMPORTRANGE(""https://docs.google.com/spreadsheets/d/1SX6NBoVAgQJ6U1MVXOaj8PK2l7WJ3RER9xtqwdhxkhw/edit?usp=sharing"",""ชลบุรี!J47"")"),0)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IFERROR(__xludf.DUMMYFUNCTION("IMPORTRANGE(""https://docs.google.com/spreadsheets/d/1SX6NBoVAgQJ6U1MVXOaj8PK2l7WJ3RER9xtqwdhxkhw/edit?usp=sharing"",""ชลบุรี!I48"")"),1)</f>
        <v>1</v>
      </c>
      <c r="J113" s="205">
        <f ca="1">IFERROR(__xludf.DUMMYFUNCTION("IMPORTRANGE(""https://docs.google.com/spreadsheets/d/1SX6NBoVAgQJ6U1MVXOaj8PK2l7WJ3RER9xtqwdhxkhw/edit?usp=sharing"",""ชลบุรี!J48"")"),0)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IFERROR(__xludf.DUMMYFUNCTION("IMPORTRANGE(""https://docs.google.com/spreadsheets/d/1SX6NBoVAgQJ6U1MVXOaj8PK2l7WJ3RER9xtqwdhxkhw/edit?usp=sharing"",""ชลบุรี!J50"")"),0)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29134</v>
      </c>
      <c r="O118" s="151">
        <f t="shared" ref="O118:O120" ca="1" si="59">IF(L118&gt;0,N118*100/L118,0)</f>
        <v>35.339640950994664</v>
      </c>
      <c r="P118" s="151">
        <f t="shared" ref="P118:P120" ca="1" si="60">IF(M118&gt;0,N118*100/M118,0)</f>
        <v>43.850090307043949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29134</v>
      </c>
      <c r="O120" s="156">
        <f t="shared" ca="1" si="59"/>
        <v>35.339640950994664</v>
      </c>
      <c r="P120" s="156">
        <f t="shared" ca="1" si="60"/>
        <v>43.850090307043949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IFERROR(__xludf.DUMMYFUNCTION("IMPORTRANGE(""https://docs.google.com/spreadsheets/d/1Yj_ptqi66GCucihVvJfMjLAmec39IyEx_6qawtMGysU/edit?usp=sharing"",""สบก!BA62"")"),66440)</f>
        <v>66440</v>
      </c>
      <c r="N122" s="170">
        <f ca="1">IFERROR(__xludf.DUMMYFUNCTION("IMPORTRANGE(""https://docs.google.com/spreadsheets/d/1Yj_ptqi66GCucihVvJfMjLAmec39IyEx_6qawtMGysU/edit?usp=sharing"",""สบก!BB62"")"),29134)</f>
        <v>29134</v>
      </c>
      <c r="O122" s="170">
        <f ca="1">IF(L122&gt;0,N122*100/L122,0)</f>
        <v>35.339640950994664</v>
      </c>
      <c r="P122" s="170">
        <f ca="1">IF(M122&gt;0,N122*100/M122,0)</f>
        <v>43.850090307043949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IFERROR(__xludf.DUMMYFUNCTION("IMPORTRANGE(""https://docs.google.com/spreadsheets/d/1Yj_ptqi66GCucihVvJfMjLAmec39IyEx_6qawtMGysU/edit?usp=sharing"",""สบก!AW62"")"),0)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IFERROR(__xludf.DUMMYFUNCTION("IMPORTRANGE(""https://docs.google.com/spreadsheets/d/1Yj_ptqi66GCucihVvJfMjLAmec39IyEx_6qawtMGysU/edit?usp=sharing"",""สบก!AX62"")"),82440)</f>
        <v>82440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245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IFERROR(__xludf.DUMMYFUNCTION("IMPORTRANGE(""https://docs.google.com/spreadsheets/d/1SX6NBoVAgQJ6U1MVXOaj8PK2l7WJ3RER9xtqwdhxkhw/edit?usp=sharing"",""ชลบุรี!J59"")"),1)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IFERROR(__xludf.DUMMYFUNCTION("IMPORTRANGE(""https://docs.google.com/spreadsheets/d/1SX6NBoVAgQJ6U1MVXOaj8PK2l7WJ3RER9xtqwdhxkhw/edit?usp=sharing"",""ชลบุรี!J60"")"),1)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IFERROR(__xludf.DUMMYFUNCTION("IMPORTRANGE(""https://docs.google.com/spreadsheets/d/1SX6NBoVAgQJ6U1MVXOaj8PK2l7WJ3RER9xtqwdhxkhw/edit?usp=sharing"",""ชลบุรี!J61"")"),0)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IFERROR(__xludf.DUMMYFUNCTION("IMPORTRANGE(""https://docs.google.com/spreadsheets/d/1SX6NBoVAgQJ6U1MVXOaj8PK2l7WJ3RER9xtqwdhxkhw/edit?usp=sharing"",""ชลบุรี!I62"")"),20)</f>
        <v>20</v>
      </c>
      <c r="J132" s="205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IFERROR(__xludf.DUMMYFUNCTION("IMPORTRANGE(""https://docs.google.com/spreadsheets/d/1SX6NBoVAgQJ6U1MVXOaj8PK2l7WJ3RER9xtqwdhxkhw/edit?usp=sharing"",""ชลบุรี!I63"")"),20)</f>
        <v>20</v>
      </c>
      <c r="J133" s="205">
        <f ca="1">IFERROR(__xludf.DUMMYFUNCTION("IMPORTRANGE(""https://docs.google.com/spreadsheets/d/1SX6NBoVAgQJ6U1MVXOaj8PK2l7WJ3RER9xtqwdhxkhw/edit?usp=sharing"",""ชลบุรี!J63"")"),0)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323600</v>
      </c>
      <c r="M140" s="152">
        <f t="shared" ca="1" si="64"/>
        <v>200950</v>
      </c>
      <c r="N140" s="152">
        <f t="shared" ca="1" si="64"/>
        <v>137118</v>
      </c>
      <c r="O140" s="151">
        <f t="shared" ref="O140:O142" ca="1" si="65">IF(L140&gt;0,N140*100/L140,0)</f>
        <v>42.372682323856615</v>
      </c>
      <c r="P140" s="151">
        <f t="shared" ref="P140:P142" ca="1" si="66">IF(M140&gt;0,N140*100/M140,0)</f>
        <v>68.234884299577004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323600</v>
      </c>
      <c r="M142" s="157">
        <f t="shared" ca="1" si="68"/>
        <v>200950</v>
      </c>
      <c r="N142" s="157">
        <f t="shared" ca="1" si="68"/>
        <v>137118</v>
      </c>
      <c r="O142" s="156">
        <f t="shared" ca="1" si="65"/>
        <v>42.372682323856615</v>
      </c>
      <c r="P142" s="156">
        <f t="shared" ca="1" si="66"/>
        <v>68.234884299577004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323600</v>
      </c>
      <c r="M144" s="169">
        <f ca="1">IFERROR(__xludf.DUMMYFUNCTION("IMPORTRANGE(""https://docs.google.com/spreadsheets/d/1Yj_ptqi66GCucihVvJfMjLAmec39IyEx_6qawtMGysU/edit?usp=sharing"",""สบก!BJ62"")"),200950)</f>
        <v>200950</v>
      </c>
      <c r="N144" s="170">
        <f ca="1">IFERROR(__xludf.DUMMYFUNCTION("IMPORTRANGE(""https://docs.google.com/spreadsheets/d/1Yj_ptqi66GCucihVvJfMjLAmec39IyEx_6qawtMGysU/edit?usp=sharing"",""สบก!BK62"")"),137118)</f>
        <v>137118</v>
      </c>
      <c r="O144" s="170">
        <f ca="1">IF(L144&gt;0,N144*100/L144,0)</f>
        <v>42.372682323856615</v>
      </c>
      <c r="P144" s="170">
        <f ca="1">IF(M144&gt;0,N144*100/M144,0)</f>
        <v>68.234884299577004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IFERROR(__xludf.DUMMYFUNCTION("IMPORTRANGE(""https://docs.google.com/spreadsheets/d/1Yj_ptqi66GCucihVvJfMjLAmec39IyEx_6qawtMGysU/edit?usp=sharing"",""สบก!BF62"")"),132000)</f>
        <v>132000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IFERROR(__xludf.DUMMYFUNCTION("IMPORTRANGE(""https://docs.google.com/spreadsheets/d/1Yj_ptqi66GCucihVvJfMjLAmec39IyEx_6qawtMGysU/edit?usp=sharing"",""สบก!BG62"")"),191600)</f>
        <v>191600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IFERROR(__xludf.DUMMYFUNCTION("IMPORTRANGE(""https://docs.google.com/spreadsheets/d/1SX6NBoVAgQJ6U1MVXOaj8PK2l7WJ3RER9xtqwdhxkhw/edit?usp=sharing"",""ชลบุรี!J79"")"),0)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IFERROR(__xludf.DUMMYFUNCTION("IMPORTRANGE(""https://docs.google.com/spreadsheets/d/1SX6NBoVAgQJ6U1MVXOaj8PK2l7WJ3RER9xtqwdhxkhw/edit?usp=sharing"",""ชลบุรี!J80"")"),1)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IFERROR(__xludf.DUMMYFUNCTION("IMPORTRANGE(""https://docs.google.com/spreadsheets/d/1SX6NBoVAgQJ6U1MVXOaj8PK2l7WJ3RER9xtqwdhxkhw/edit?usp=sharing"",""ชลบุรี!J81"")"),1)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IFERROR(__xludf.DUMMYFUNCTION("IMPORTRANGE(""https://docs.google.com/spreadsheets/d/1SX6NBoVAgQJ6U1MVXOaj8PK2l7WJ3RER9xtqwdhxkhw/edit?usp=sharing"",""ชลบุรี!J82"")"),0)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IFERROR(__xludf.DUMMYFUNCTION("IMPORTRANGE(""https://docs.google.com/spreadsheets/d/1SX6NBoVAgQJ6U1MVXOaj8PK2l7WJ3RER9xtqwdhxkhw/edit?usp=sharing"",""ชลบุรี!I83"")"),4)</f>
        <v>4</v>
      </c>
      <c r="J158" s="190">
        <f ca="1">IFERROR(__xludf.DUMMYFUNCTION("IMPORTRANGE(""https://docs.google.com/spreadsheets/d/1SX6NBoVAgQJ6U1MVXOaj8PK2l7WJ3RER9xtqwdhxkhw/edit?usp=sharing"",""ชลบุรี!J83"")"),0)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IFERROR(__xludf.DUMMYFUNCTION("IMPORTRANGE(""https://docs.google.com/spreadsheets/d/1SX6NBoVAgQJ6U1MVXOaj8PK2l7WJ3RER9xtqwdhxkhw/edit?usp=sharing"",""ชลบุรี!J84"")"),0)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IFERROR(__xludf.DUMMYFUNCTION("IMPORTRANGE(""https://docs.google.com/spreadsheets/d/1SX6NBoVAgQJ6U1MVXOaj8PK2l7WJ3RER9xtqwdhxkhw/edit?usp=sharing"",""ชลบุรี!J85"")"),0)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IFERROR(__xludf.DUMMYFUNCTION("IMPORTRANGE(""https://docs.google.com/spreadsheets/d/1SX6NBoVAgQJ6U1MVXOaj8PK2l7WJ3RER9xtqwdhxkhw/edit?usp=sharing"",""ชลบุรี!J86"")"),0)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IFERROR(__xludf.DUMMYFUNCTION("IMPORTRANGE(""https://docs.google.com/spreadsheets/d/1SX6NBoVAgQJ6U1MVXOaj8PK2l7WJ3RER9xtqwdhxkhw/edit?usp=sharing"",""ชลบุรี!J87"")"),0)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IFERROR(__xludf.DUMMYFUNCTION("IMPORTRANGE(""https://docs.google.com/spreadsheets/d/1SX6NBoVAgQJ6U1MVXOaj8PK2l7WJ3RER9xtqwdhxkhw/edit?usp=sharing"",""ชลบุรี!J88"")"),0)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IFERROR(__xludf.DUMMYFUNCTION("IMPORTRANGE(""https://docs.google.com/spreadsheets/d/1SX6NBoVAgQJ6U1MVXOaj8PK2l7WJ3RER9xtqwdhxkhw/edit?usp=sharing"",""ชลบุรี!I89"")"),4)</f>
        <v>4</v>
      </c>
      <c r="J164" s="284">
        <f ca="1">IFERROR(__xludf.DUMMYFUNCTION("IMPORTRANGE(""https://docs.google.com/spreadsheets/d/1SX6NBoVAgQJ6U1MVXOaj8PK2l7WJ3RER9xtqwdhxkhw/edit?usp=sharing"",""ชลบุรี!J89"")"),1)</f>
        <v>1</v>
      </c>
      <c r="K164" s="285">
        <f ca="1">IF(I164&gt;0,J164*100/I164,0)</f>
        <v>25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IFERROR(__xludf.DUMMYFUNCTION("IMPORTRANGE(""https://docs.google.com/spreadsheets/d/1SX6NBoVAgQJ6U1MVXOaj8PK2l7WJ3RER9xtqwdhxkhw/edit?usp=sharing"",""ชลบุรี!J94"")"),0)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IFERROR(__xludf.DUMMYFUNCTION("IMPORTRANGE(""https://docs.google.com/spreadsheets/d/1SX6NBoVAgQJ6U1MVXOaj8PK2l7WJ3RER9xtqwdhxkhw/edit?usp=sharing"",""ชลบุรี!J95"")"),1)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IFERROR(__xludf.DUMMYFUNCTION("IMPORTRANGE(""https://docs.google.com/spreadsheets/d/1SX6NBoVAgQJ6U1MVXOaj8PK2l7WJ3RER9xtqwdhxkhw/edit?usp=sharing"",""ชลบุรี!J96"")"),1)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IFERROR(__xludf.DUMMYFUNCTION("IMPORTRANGE(""https://docs.google.com/spreadsheets/d/1SX6NBoVAgQJ6U1MVXOaj8PK2l7WJ3RER9xtqwdhxkhw/edit?usp=sharing"",""ชลบุรี!J97"")"),0)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IFERROR(__xludf.DUMMYFUNCTION("IMPORTRANGE(""https://docs.google.com/spreadsheets/d/1SX6NBoVAgQJ6U1MVXOaj8PK2l7WJ3RER9xtqwdhxkhw/edit?usp=sharing"",""ชลบุรี!I98"")"),4)</f>
        <v>4</v>
      </c>
      <c r="J173" s="190">
        <f ca="1">IFERROR(__xludf.DUMMYFUNCTION("IMPORTRANGE(""https://docs.google.com/spreadsheets/d/1SX6NBoVAgQJ6U1MVXOaj8PK2l7WJ3RER9xtqwdhxkhw/edit?usp=sharing"",""ชลบุรี!J98"")"),1)</f>
        <v>1</v>
      </c>
      <c r="K173" s="165">
        <f ca="1">IF(I173&gt;0,J173*100/I173,0)</f>
        <v>25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IFERROR(__xludf.DUMMYFUNCTION("IMPORTRANGE(""https://docs.google.com/spreadsheets/d/1SX6NBoVAgQJ6U1MVXOaj8PK2l7WJ3RER9xtqwdhxkhw/edit?usp=sharing"",""ชลบุรี!J99"")"),0)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IFERROR(__xludf.DUMMYFUNCTION("IMPORTRANGE(""https://docs.google.com/spreadsheets/d/1SX6NBoVAgQJ6U1MVXOaj8PK2l7WJ3RER9xtqwdhxkhw/edit?usp=sharing"",""ชลบุรี!J100"")"),0)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IFERROR(__xludf.DUMMYFUNCTION("IMPORTRANGE(""https://docs.google.com/spreadsheets/d/1SX6NBoVAgQJ6U1MVXOaj8PK2l7WJ3RER9xtqwdhxkhw/edit?usp=sharing"",""ชลบุรี!I101"")"),0)</f>
        <v>0</v>
      </c>
      <c r="J176" s="284">
        <f ca="1">IFERROR(__xludf.DUMMYFUNCTION("IMPORTRANGE(""https://docs.google.com/spreadsheets/d/1SX6NBoVAgQJ6U1MVXOaj8PK2l7WJ3RER9xtqwdhxkhw/edit?usp=sharing"",""ชลบุรี!J101"")"),0)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IFERROR(__xludf.DUMMYFUNCTION("IMPORTRANGE(""https://docs.google.com/spreadsheets/d/1SX6NBoVAgQJ6U1MVXOaj8PK2l7WJ3RER9xtqwdhxkhw/edit?usp=sharing"",""ชลบุรี!I110"")"),0)</f>
        <v>0</v>
      </c>
      <c r="J185" s="205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IFERROR(__xludf.DUMMYFUNCTION("IMPORTRANGE(""https://docs.google.com/spreadsheets/d/1SX6NBoVAgQJ6U1MVXOaj8PK2l7WJ3RER9xtqwdhxkhw/edit?usp=sharing"",""ชลบุรี!I111"")"),0)</f>
        <v>0</v>
      </c>
      <c r="J186" s="205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IFERROR(__xludf.DUMMYFUNCTION("IMPORTRANGE(""https://docs.google.com/spreadsheets/d/1SX6NBoVAgQJ6U1MVXOaj8PK2l7WJ3RER9xtqwdhxkhw/edit?usp=sharing"",""ชลบุรี!I114"")"),5000)</f>
        <v>5000</v>
      </c>
      <c r="J189" s="284">
        <f ca="1">IFERROR(__xludf.DUMMYFUNCTION("IMPORTRANGE(""https://docs.google.com/spreadsheets/d/1SX6NBoVAgQJ6U1MVXOaj8PK2l7WJ3RER9xtqwdhxkhw/edit?usp=sharing"",""ชลบุรี!J114"")"),0)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IFERROR(__xludf.DUMMYFUNCTION("IMPORTRANGE(""https://docs.google.com/spreadsheets/d/1SX6NBoVAgQJ6U1MVXOaj8PK2l7WJ3RER9xtqwdhxkhw/edit?usp=sharing"",""ชลบุรี!J119"")"),0)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IFERROR(__xludf.DUMMYFUNCTION("IMPORTRANGE(""https://docs.google.com/spreadsheets/d/1SX6NBoVAgQJ6U1MVXOaj8PK2l7WJ3RER9xtqwdhxkhw/edit?usp=sharing"",""ชลบุรี!J120"")"),1)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IFERROR(__xludf.DUMMYFUNCTION("IMPORTRANGE(""https://docs.google.com/spreadsheets/d/1SX6NBoVAgQJ6U1MVXOaj8PK2l7WJ3RER9xtqwdhxkhw/edit?usp=sharing"",""ชลบุรี!J121"")"),1)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IFERROR(__xludf.DUMMYFUNCTION("IMPORTRANGE(""https://docs.google.com/spreadsheets/d/1SX6NBoVAgQJ6U1MVXOaj8PK2l7WJ3RER9xtqwdhxkhw/edit?usp=sharing"",""ชลบุรี!J122"")"),0)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IFERROR(__xludf.DUMMYFUNCTION("IMPORTRANGE(""https://docs.google.com/spreadsheets/d/1SX6NBoVAgQJ6U1MVXOaj8PK2l7WJ3RER9xtqwdhxkhw/edit?usp=sharing"",""ชลบุรี!I124"")"),5000)</f>
        <v>5000</v>
      </c>
      <c r="J199" s="190">
        <f ca="1">IFERROR(__xludf.DUMMYFUNCTION("IMPORTRANGE(""https://docs.google.com/spreadsheets/d/1SX6NBoVAgQJ6U1MVXOaj8PK2l7WJ3RER9xtqwdhxkhw/edit?usp=sharing"",""ชลบุรี!J124"")"),0)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IFERROR(__xludf.DUMMYFUNCTION("IMPORTRANGE(""https://docs.google.com/spreadsheets/d/1SX6NBoVAgQJ6U1MVXOaj8PK2l7WJ3RER9xtqwdhxkhw/edit?usp=sharing"",""ชลบุรี!I125"")"),5000)</f>
        <v>5000</v>
      </c>
      <c r="J200" s="190">
        <f ca="1">IFERROR(__xludf.DUMMYFUNCTION("IMPORTRANGE(""https://docs.google.com/spreadsheets/d/1SX6NBoVAgQJ6U1MVXOaj8PK2l7WJ3RER9xtqwdhxkhw/edit?usp=sharing"",""ชลบุรี!J125"")"),0)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IFERROR(__xludf.DUMMYFUNCTION("IMPORTRANGE(""https://docs.google.com/spreadsheets/d/1SX6NBoVAgQJ6U1MVXOaj8PK2l7WJ3RER9xtqwdhxkhw/edit?usp=sharing"",""ชลบุรี!I126"")"),15)</f>
        <v>15</v>
      </c>
      <c r="J201" s="190">
        <f ca="1">IFERROR(__xludf.DUMMYFUNCTION("IMPORTRANGE(""https://docs.google.com/spreadsheets/d/1SX6NBoVAgQJ6U1MVXOaj8PK2l7WJ3RER9xtqwdhxkhw/edit?usp=sharing"",""ชลบุรี!J126"")"),15)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IFERROR(__xludf.DUMMYFUNCTION("IMPORTRANGE(""https://docs.google.com/spreadsheets/d/1SX6NBoVAgQJ6U1MVXOaj8PK2l7WJ3RER9xtqwdhxkhw/edit?usp=sharing"",""ชลบุรี!J127"")"),0)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IFERROR(__xludf.DUMMYFUNCTION("IMPORTRANGE(""https://docs.google.com/spreadsheets/d/1SX6NBoVAgQJ6U1MVXOaj8PK2l7WJ3RER9xtqwdhxkhw/edit?usp=sharing"",""ชลบุรี!J128"")"),0)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IFERROR(__xludf.DUMMYFUNCTION("IMPORTRANGE(""https://docs.google.com/spreadsheets/d/1SX6NBoVAgQJ6U1MVXOaj8PK2l7WJ3RER9xtqwdhxkhw/edit?usp=sharing"",""ชลบุรี!I129"")"),40)</f>
        <v>40</v>
      </c>
      <c r="J204" s="284">
        <f ca="1">IFERROR(__xludf.DUMMYFUNCTION("IMPORTRANGE(""https://docs.google.com/spreadsheets/d/1SX6NBoVAgQJ6U1MVXOaj8PK2l7WJ3RER9xtqwdhxkhw/edit?usp=sharing"",""ชลบุรี!J129"")"),40)</f>
        <v>40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IFERROR(__xludf.DUMMYFUNCTION("IMPORTRANGE(""https://docs.google.com/spreadsheets/d/1SX6NBoVAgQJ6U1MVXOaj8PK2l7WJ3RER9xtqwdhxkhw/edit?usp=sharing"",""ชลบุรี!J135"")"),1)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IFERROR(__xludf.DUMMYFUNCTION("IMPORTRANGE(""https://docs.google.com/spreadsheets/d/1SX6NBoVAgQJ6U1MVXOaj8PK2l7WJ3RER9xtqwdhxkhw/edit?usp=sharing"",""ชลบุรี!J136"")"),1)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IFERROR(__xludf.DUMMYFUNCTION("IMPORTRANGE(""https://docs.google.com/spreadsheets/d/1SX6NBoVAgQJ6U1MVXOaj8PK2l7WJ3RER9xtqwdhxkhw/edit?usp=sharing"",""ชลบุรี!J137"")"),0)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IFERROR(__xludf.DUMMYFUNCTION("IMPORTRANGE(""https://docs.google.com/spreadsheets/d/1SX6NBoVAgQJ6U1MVXOaj8PK2l7WJ3RER9xtqwdhxkhw/edit?usp=sharing"",""ชลบุรี!I138"")"),40)</f>
        <v>40</v>
      </c>
      <c r="J213" s="205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IFERROR(__xludf.DUMMYFUNCTION("IMPORTRANGE(""https://docs.google.com/spreadsheets/d/1SX6NBoVAgQJ6U1MVXOaj8PK2l7WJ3RER9xtqwdhxkhw/edit?usp=sharing"",""ชลบุรี!I140"")"),40)</f>
        <v>40</v>
      </c>
      <c r="J215" s="205">
        <f ca="1">IFERROR(__xludf.DUMMYFUNCTION("IMPORTRANGE(""https://docs.google.com/spreadsheets/d/1SX6NBoVAgQJ6U1MVXOaj8PK2l7WJ3RER9xtqwdhxkhw/edit?usp=sharing"",""ชลบุรี!J140"")"),0)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IFERROR(__xludf.DUMMYFUNCTION("IMPORTRANGE(""https://docs.google.com/spreadsheets/d/1SX6NBoVAgQJ6U1MVXOaj8PK2l7WJ3RER9xtqwdhxkhw/edit?usp=sharing"",""ชลบุรี!I141"")"),0)</f>
        <v>0</v>
      </c>
      <c r="J216" s="205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0</v>
      </c>
      <c r="M224" s="169">
        <f ca="1">IFERROR(__xludf.DUMMYFUNCTION("IMPORTRANGE(""https://docs.google.com/spreadsheets/d/1Yj_ptqi66GCucihVvJfMjLAmec39IyEx_6qawtMGysU/edit?usp=sharing"",""สบก!BS62"")"),0)</f>
        <v>0</v>
      </c>
      <c r="N224" s="170">
        <f ca="1">IFERROR(__xludf.DUMMYFUNCTION("IMPORTRANGE(""https://docs.google.com/spreadsheets/d/1Yj_ptqi66GCucihVvJfMjLAmec39IyEx_6qawtMGysU/edit?usp=sharing"",""สบก!BT62"")"),0)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IFERROR(__xludf.DUMMYFUNCTION("IMPORTRANGE(""https://docs.google.com/spreadsheets/d/1Yj_ptqi66GCucihVvJfMjLAmec39IyEx_6qawtMGysU/edit?usp=sharing"",""สบก!BO62"")"),0)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IFERROR(__xludf.DUMMYFUNCTION("IMPORTRANGE(""https://docs.google.com/spreadsheets/d/1Yj_ptqi66GCucihVvJfMjLAmec39IyEx_6qawtMGysU/edit?usp=sharing"",""สบก!BP62"")"),0)</f>
        <v>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IFERROR(__xludf.DUMMYFUNCTION("IMPORTRANGE(""https://docs.google.com/spreadsheets/d/1SX6NBoVAgQJ6U1MVXOaj8PK2l7WJ3RER9xtqwdhxkhw/edit?usp=sharing"",""ชลบุรี!J151"")"),0)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IFERROR(__xludf.DUMMYFUNCTION("IMPORTRANGE(""https://docs.google.com/spreadsheets/d/1SX6NBoVAgQJ6U1MVXOaj8PK2l7WJ3RER9xtqwdhxkhw/edit?usp=sharing"",""ชลบุรี!J152"")"),0)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IFERROR(__xludf.DUMMYFUNCTION("IMPORTRANGE(""https://docs.google.com/spreadsheets/d/1SX6NBoVAgQJ6U1MVXOaj8PK2l7WJ3RER9xtqwdhxkhw/edit?usp=sharing"",""ชลบุรี!J153"")"),0)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IFERROR(__xludf.DUMMYFUNCTION("IMPORTRANGE(""https://docs.google.com/spreadsheets/d/1SX6NBoVAgQJ6U1MVXOaj8PK2l7WJ3RER9xtqwdhxkhw/edit?usp=sharing"",""ชลบุรี!J154"")"),0)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IFERROR(__xludf.DUMMYFUNCTION("IMPORTRANGE(""https://docs.google.com/spreadsheets/d/1SX6NBoVAgQJ6U1MVXOaj8PK2l7WJ3RER9xtqwdhxkhw/edit?usp=sharing"",""ชลบุรี!I155"")"),0)</f>
        <v>0</v>
      </c>
      <c r="J235" s="190">
        <f ca="1">IFERROR(__xludf.DUMMYFUNCTION("IMPORTRANGE(""https://docs.google.com/spreadsheets/d/1SX6NBoVAgQJ6U1MVXOaj8PK2l7WJ3RER9xtqwdhxkhw/edit?usp=sharing"",""ชลบุรี!J155"")"),0)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IFERROR(__xludf.DUMMYFUNCTION("IMPORTRANGE(""https://docs.google.com/spreadsheets/d/1SX6NBoVAgQJ6U1MVXOaj8PK2l7WJ3RER9xtqwdhxkhw/edit?usp=sharing"",""ชลบุรี!J156"")"),0)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IFERROR(__xludf.DUMMYFUNCTION("IMPORTRANGE(""https://docs.google.com/spreadsheets/d/1SX6NBoVAgQJ6U1MVXOaj8PK2l7WJ3RER9xtqwdhxkhw/edit?usp=sharing"",""ชลบุรี!J159"")"),"")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IFERROR(__xludf.DUMMYFUNCTION("IMPORTRANGE(""https://docs.google.com/spreadsheets/d/1SX6NBoVAgQJ6U1MVXOaj8PK2l7WJ3RER9xtqwdhxkhw/edit?usp=sharing"",""ชลบุรี!J161"")"),0)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IFERROR(__xludf.DUMMYFUNCTION("IMPORTRANGE(""https://docs.google.com/spreadsheets/d/1SX6NBoVAgQJ6U1MVXOaj8PK2l7WJ3RER9xtqwdhxkhw/edit?usp=sharing"",""ชลบุรี!J162"")"),0)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IFERROR(__xludf.DUMMYFUNCTION("IMPORTRANGE(""https://docs.google.com/spreadsheets/d/1SX6NBoVAgQJ6U1MVXOaj8PK2l7WJ3RER9xtqwdhxkhw/edit?usp=sharing"",""ชลบุรี!J163"")"),0)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IFERROR(__xludf.DUMMYFUNCTION("IMPORTRANGE(""https://docs.google.com/spreadsheets/d/1SX6NBoVAgQJ6U1MVXOaj8PK2l7WJ3RER9xtqwdhxkhw/edit?usp=sharing"",""ชลบุรี!I164"")"),0)</f>
        <v>0</v>
      </c>
      <c r="J244" s="189">
        <f ca="1">IFERROR(__xludf.DUMMYFUNCTION("IMPORTRANGE(""https://docs.google.com/spreadsheets/d/1SX6NBoVAgQJ6U1MVXOaj8PK2l7WJ3RER9xtqwdhxkhw/edit?usp=sharing"",""ชลบุรี!J164"")"),0)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IFERROR(__xludf.DUMMYFUNCTION("IMPORTRANGE(""https://docs.google.com/spreadsheets/d/1SX6NBoVAgQJ6U1MVXOaj8PK2l7WJ3RER9xtqwdhxkhw/edit?usp=sharing"",""ชลบุรี!J165"")"),0)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IFERROR(__xludf.DUMMYFUNCTION("IMPORTRANGE(""https://docs.google.com/spreadsheets/d/1SX6NBoVAgQJ6U1MVXOaj8PK2l7WJ3RER9xtqwdhxkhw/edit?usp=sharing"",""ชลบุรี!I169"")"),0)</f>
        <v>0</v>
      </c>
      <c r="J249" s="316">
        <f ca="1">IFERROR(__xludf.DUMMYFUNCTION("IMPORTRANGE(""https://docs.google.com/spreadsheets/d/1SX6NBoVAgQJ6U1MVXOaj8PK2l7WJ3RER9xtqwdhxkhw/edit?usp=sharing"",""ชลบุรี!J169"")"),0)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IFERROR(__xludf.DUMMYFUNCTION("IMPORTRANGE(""https://docs.google.com/spreadsheets/d/1Yj_ptqi66GCucihVvJfMjLAmec39IyEx_6qawtMGysU/edit?usp=sharing"",""สบก!CB62"")"),0)</f>
        <v>0</v>
      </c>
      <c r="N254" s="170">
        <f ca="1">IFERROR(__xludf.DUMMYFUNCTION("IMPORTRANGE(""https://docs.google.com/spreadsheets/d/1Yj_ptqi66GCucihVvJfMjLAmec39IyEx_6qawtMGysU/edit?usp=sharing"",""สบก!CC62"")"),0)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IFERROR(__xludf.DUMMYFUNCTION("IMPORTRANGE(""https://docs.google.com/spreadsheets/d/1Yj_ptqi66GCucihVvJfMjLAmec39IyEx_6qawtMGysU/edit?usp=sharing"",""สบก!BX62"")"),0)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IFERROR(__xludf.DUMMYFUNCTION("IMPORTRANGE(""https://docs.google.com/spreadsheets/d/1Yj_ptqi66GCucihVvJfMjLAmec39IyEx_6qawtMGysU/edit?usp=sharing"",""สบก!BY62"")"),0)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IFERROR(__xludf.DUMMYFUNCTION("IMPORTRANGE(""https://docs.google.com/spreadsheets/d/1SX6NBoVAgQJ6U1MVXOaj8PK2l7WJ3RER9xtqwdhxkhw/edit?usp=sharing"",""ชลบุรี!J175"")"),0)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IFERROR(__xludf.DUMMYFUNCTION("IMPORTRANGE(""https://docs.google.com/spreadsheets/d/1SX6NBoVAgQJ6U1MVXOaj8PK2l7WJ3RER9xtqwdhxkhw/edit?usp=sharing"",""ชลบุรี!J176"")"),0)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IFERROR(__xludf.DUMMYFUNCTION("IMPORTRANGE(""https://docs.google.com/spreadsheets/d/1SX6NBoVAgQJ6U1MVXOaj8PK2l7WJ3RER9xtqwdhxkhw/edit?usp=sharing"",""ชลบุรี!J177"")"),0)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IFERROR(__xludf.DUMMYFUNCTION("IMPORTRANGE(""https://docs.google.com/spreadsheets/d/1SX6NBoVAgQJ6U1MVXOaj8PK2l7WJ3RER9xtqwdhxkhw/edit?usp=sharing"",""ชลบุรี!J178"")"),0)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IFERROR(__xludf.DUMMYFUNCTION("IMPORTRANGE(""https://docs.google.com/spreadsheets/d/1SX6NBoVAgQJ6U1MVXOaj8PK2l7WJ3RER9xtqwdhxkhw/edit?usp=sharing"",""ชลบุรี!I179"")"),0)</f>
        <v>0</v>
      </c>
      <c r="J264" s="190">
        <f ca="1">IFERROR(__xludf.DUMMYFUNCTION("IMPORTRANGE(""https://docs.google.com/spreadsheets/d/1SX6NBoVAgQJ6U1MVXOaj8PK2l7WJ3RER9xtqwdhxkhw/edit?usp=sharing"",""ชลบุรี!J179"")"),0)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IFERROR(__xludf.DUMMYFUNCTION("IMPORTRANGE(""https://docs.google.com/spreadsheets/d/1SX6NBoVAgQJ6U1MVXOaj8PK2l7WJ3RER9xtqwdhxkhw/edit?usp=sharing"",""ชลบุรี!I180"")"),0)</f>
        <v>0</v>
      </c>
      <c r="J265" s="190">
        <f ca="1">IFERROR(__xludf.DUMMYFUNCTION("IMPORTRANGE(""https://docs.google.com/spreadsheets/d/1SX6NBoVAgQJ6U1MVXOaj8PK2l7WJ3RER9xtqwdhxkhw/edit?usp=sharing"",""ชลบุรี!J180"")"),0)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IFERROR(__xludf.DUMMYFUNCTION("IMPORTRANGE(""https://docs.google.com/spreadsheets/d/1SX6NBoVAgQJ6U1MVXOaj8PK2l7WJ3RER9xtqwdhxkhw/edit?usp=sharing"",""ชลบุรี!I181"")"),0)</f>
        <v>0</v>
      </c>
      <c r="J266" s="190">
        <f ca="1">IFERROR(__xludf.DUMMYFUNCTION("IMPORTRANGE(""https://docs.google.com/spreadsheets/d/1SX6NBoVAgQJ6U1MVXOaj8PK2l7WJ3RER9xtqwdhxkhw/edit?usp=sharing"",""ชลบุรี!J181"")"),0)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IFERROR(__xludf.DUMMYFUNCTION("IMPORTRANGE(""https://docs.google.com/spreadsheets/d/1SX6NBoVAgQJ6U1MVXOaj8PK2l7WJ3RER9xtqwdhxkhw/edit?usp=sharing"",""ชลบุรี!I182"")"),0)</f>
        <v>0</v>
      </c>
      <c r="J267" s="190">
        <f ca="1">IFERROR(__xludf.DUMMYFUNCTION("IMPORTRANGE(""https://docs.google.com/spreadsheets/d/1SX6NBoVAgQJ6U1MVXOaj8PK2l7WJ3RER9xtqwdhxkhw/edit?usp=sharing"",""ชลบุรี!J182"")"),0)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IFERROR(__xludf.DUMMYFUNCTION("IMPORTRANGE(""https://docs.google.com/spreadsheets/d/1SX6NBoVAgQJ6U1MVXOaj8PK2l7WJ3RER9xtqwdhxkhw/edit?usp=sharing"",""ชลบุรี!J183"")"),0)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IFERROR(__xludf.DUMMYFUNCTION("IMPORTRANGE(""https://docs.google.com/spreadsheets/d/1SX6NBoVAgQJ6U1MVXOaj8PK2l7WJ3RER9xtqwdhxkhw/edit?usp=sharing"",""ชลบุรี!J184"")"),0)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IFERROR(__xludf.DUMMYFUNCTION("IMPORTRANGE(""https://docs.google.com/spreadsheets/d/1SX6NBoVAgQJ6U1MVXOaj8PK2l7WJ3RER9xtqwdhxkhw/edit?usp=sharing"",""ชลบุรี!I185"")"),15)</f>
        <v>15</v>
      </c>
      <c r="J270" s="316">
        <f ca="1">IFERROR(__xludf.DUMMYFUNCTION("IMPORTRANGE(""https://docs.google.com/spreadsheets/d/1SX6NBoVAgQJ6U1MVXOaj8PK2l7WJ3RER9xtqwdhxkhw/edit?usp=sharing"",""ชลบุรี!J185"")"),0)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450</v>
      </c>
      <c r="O271" s="151">
        <f t="shared" ref="O271:O273" ca="1" si="84">IF(L271&gt;0,N271*100/L271,0)</f>
        <v>0.81521739130434778</v>
      </c>
      <c r="P271" s="151">
        <f t="shared" ref="P271:P273" ca="1" si="85">IF(M271&gt;0,N271*100/M271,0)</f>
        <v>1.3953488372093024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450</v>
      </c>
      <c r="O273" s="156">
        <f t="shared" ca="1" si="84"/>
        <v>0.81521739130434778</v>
      </c>
      <c r="P273" s="156">
        <f t="shared" ca="1" si="85"/>
        <v>1.3953488372093024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IFERROR(__xludf.DUMMYFUNCTION("IMPORTRANGE(""https://docs.google.com/spreadsheets/d/1Yj_ptqi66GCucihVvJfMjLAmec39IyEx_6qawtMGysU/edit?usp=sharing"",""สบก!CK62"")"),32250)</f>
        <v>32250</v>
      </c>
      <c r="N275" s="170">
        <f ca="1">IFERROR(__xludf.DUMMYFUNCTION("IMPORTRANGE(""https://docs.google.com/spreadsheets/d/1Yj_ptqi66GCucihVvJfMjLAmec39IyEx_6qawtMGysU/edit?usp=sharing"",""สบก!CL62"")"),450)</f>
        <v>450</v>
      </c>
      <c r="O275" s="170">
        <f ca="1">IF(L275&gt;0,N275*100/L275,0)</f>
        <v>0.81521739130434778</v>
      </c>
      <c r="P275" s="170">
        <f ca="1">IF(M275&gt;0,N275*100/M275,0)</f>
        <v>1.3953488372093024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IFERROR(__xludf.DUMMYFUNCTION("IMPORTRANGE(""https://docs.google.com/spreadsheets/d/1Yj_ptqi66GCucihVvJfMjLAmec39IyEx_6qawtMGysU/edit?usp=sharing"",""สบก!CG62"")"),0)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IFERROR(__xludf.DUMMYFUNCTION("IMPORTRANGE(""https://docs.google.com/spreadsheets/d/1Yj_ptqi66GCucihVvJfMjLAmec39IyEx_6qawtMGysU/edit?usp=sharing"",""สบก!CH62"")"),55200)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IFERROR(__xludf.DUMMYFUNCTION("IMPORTRANGE(""https://docs.google.com/spreadsheets/d/1SX6NBoVAgQJ6U1MVXOaj8PK2l7WJ3RER9xtqwdhxkhw/edit?usp=sharing"",""ชลบุรี!J191"")"),0)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IFERROR(__xludf.DUMMYFUNCTION("IMPORTRANGE(""https://docs.google.com/spreadsheets/d/1SX6NBoVAgQJ6U1MVXOaj8PK2l7WJ3RER9xtqwdhxkhw/edit?usp=sharing"",""ชลบุรี!J192"")"),1)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IFERROR(__xludf.DUMMYFUNCTION("IMPORTRANGE(""https://docs.google.com/spreadsheets/d/1SX6NBoVAgQJ6U1MVXOaj8PK2l7WJ3RER9xtqwdhxkhw/edit?usp=sharing"",""ชลบุรี!J193"")"),1)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IFERROR(__xludf.DUMMYFUNCTION("IMPORTRANGE(""https://docs.google.com/spreadsheets/d/1SX6NBoVAgQJ6U1MVXOaj8PK2l7WJ3RER9xtqwdhxkhw/edit?usp=sharing"",""ชลบุรี!J194"")"),0)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IFERROR(__xludf.DUMMYFUNCTION("IMPORTRANGE(""https://docs.google.com/spreadsheets/d/1SX6NBoVAgQJ6U1MVXOaj8PK2l7WJ3RER9xtqwdhxkhw/edit?usp=sharing"",""ชลบุรี!I195"")"),15)</f>
        <v>15</v>
      </c>
      <c r="J285" s="190">
        <f ca="1">IFERROR(__xludf.DUMMYFUNCTION("IMPORTRANGE(""https://docs.google.com/spreadsheets/d/1SX6NBoVAgQJ6U1MVXOaj8PK2l7WJ3RER9xtqwdhxkhw/edit?usp=sharing"",""ชลบุรี!J195"")"),0)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IFERROR(__xludf.DUMMYFUNCTION("IMPORTRANGE(""https://docs.google.com/spreadsheets/d/1SX6NBoVAgQJ6U1MVXOaj8PK2l7WJ3RER9xtqwdhxkhw/edit?usp=sharing"",""ชลบุรี!J196"")"),0)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IFERROR(__xludf.DUMMYFUNCTION("IMPORTRANGE(""https://docs.google.com/spreadsheets/d/1SX6NBoVAgQJ6U1MVXOaj8PK2l7WJ3RER9xtqwdhxkhw/edit?usp=sharing"",""ชลบุรี!J197"")"),0)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IFERROR(__xludf.DUMMYFUNCTION("IMPORTRANGE(""https://docs.google.com/spreadsheets/d/1SX6NBoVAgQJ6U1MVXOaj8PK2l7WJ3RER9xtqwdhxkhw/edit?usp=sharing"",""ชลบุรี!I199"")"),30)</f>
        <v>30</v>
      </c>
      <c r="J289" s="316">
        <f ca="1">IFERROR(__xludf.DUMMYFUNCTION("IMPORTRANGE(""https://docs.google.com/spreadsheets/d/1SX6NBoVAgQJ6U1MVXOaj8PK2l7WJ3RER9xtqwdhxkhw/edit?usp=sharing"",""ชลบุรี!J199"")"),0)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96320</v>
      </c>
      <c r="M290" s="152">
        <f t="shared" ca="1" si="88"/>
        <v>46060</v>
      </c>
      <c r="N290" s="152">
        <f t="shared" ca="1" si="88"/>
        <v>27200</v>
      </c>
      <c r="O290" s="151">
        <f t="shared" ref="O290:O292" ca="1" si="89">IF(L290&gt;0,N290*100/L290,0)</f>
        <v>28.239202657807308</v>
      </c>
      <c r="P290" s="151">
        <f t="shared" ref="P290:P292" ca="1" si="90">IF(M290&gt;0,N290*100/M290,0)</f>
        <v>59.053408597481543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96320</v>
      </c>
      <c r="M292" s="157">
        <f t="shared" ca="1" si="92"/>
        <v>46060</v>
      </c>
      <c r="N292" s="157">
        <f t="shared" ca="1" si="92"/>
        <v>27200</v>
      </c>
      <c r="O292" s="156">
        <f t="shared" ca="1" si="89"/>
        <v>28.239202657807308</v>
      </c>
      <c r="P292" s="156">
        <f t="shared" ca="1" si="90"/>
        <v>59.053408597481543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96320</v>
      </c>
      <c r="M294" s="169">
        <f ca="1">IFERROR(__xludf.DUMMYFUNCTION("IMPORTRANGE(""https://docs.google.com/spreadsheets/d/1Yj_ptqi66GCucihVvJfMjLAmec39IyEx_6qawtMGysU/edit?usp=sharing"",""สบก!CT62"")"),46060)</f>
        <v>46060</v>
      </c>
      <c r="N294" s="170">
        <f ca="1">IFERROR(__xludf.DUMMYFUNCTION("IMPORTRANGE(""https://docs.google.com/spreadsheets/d/1Yj_ptqi66GCucihVvJfMjLAmec39IyEx_6qawtMGysU/edit?usp=sharing"",""สบก!CU62"")"),27200)</f>
        <v>27200</v>
      </c>
      <c r="O294" s="170">
        <f ca="1">IF(L294&gt;0,N294*100/L294,0)</f>
        <v>28.239202657807308</v>
      </c>
      <c r="P294" s="170">
        <f ca="1">IF(M294&gt;0,N294*100/M294,0)</f>
        <v>59.053408597481543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IFERROR(__xludf.DUMMYFUNCTION("IMPORTRANGE(""https://docs.google.com/spreadsheets/d/1Yj_ptqi66GCucihVvJfMjLAmec39IyEx_6qawtMGysU/edit?usp=sharing"",""สบก!CP62"")"),0)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IFERROR(__xludf.DUMMYFUNCTION("IMPORTRANGE(""https://docs.google.com/spreadsheets/d/1Yj_ptqi66GCucihVvJfMjLAmec39IyEx_6qawtMGysU/edit?usp=sharing"",""สบก!CQ62"")"),96320)</f>
        <v>96320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IFERROR(__xludf.DUMMYFUNCTION("IMPORTRANGE(""https://docs.google.com/spreadsheets/d/1SX6NBoVAgQJ6U1MVXOaj8PK2l7WJ3RER9xtqwdhxkhw/edit?usp=sharing"",""ชลบุรี!J205"")"),1)</f>
        <v>1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IFERROR(__xludf.DUMMYFUNCTION("IMPORTRANGE(""https://docs.google.com/spreadsheets/d/1SX6NBoVAgQJ6U1MVXOaj8PK2l7WJ3RER9xtqwdhxkhw/edit?usp=sharing"",""ชลบุรี!J206"")"),0)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IFERROR(__xludf.DUMMYFUNCTION("IMPORTRANGE(""https://docs.google.com/spreadsheets/d/1SX6NBoVAgQJ6U1MVXOaj8PK2l7WJ3RER9xtqwdhxkhw/edit?usp=sharing"",""ชลบุรี!J207"")"),0)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IFERROR(__xludf.DUMMYFUNCTION("IMPORTRANGE(""https://docs.google.com/spreadsheets/d/1SX6NBoVAgQJ6U1MVXOaj8PK2l7WJ3RER9xtqwdhxkhw/edit?usp=sharing"",""ชลบุรี!J208"")"),0)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IFERROR(__xludf.DUMMYFUNCTION("IMPORTRANGE(""https://docs.google.com/spreadsheets/d/1SX6NBoVAgQJ6U1MVXOaj8PK2l7WJ3RER9xtqwdhxkhw/edit?usp=sharing"",""ชลบุรี!I209"")"),30)</f>
        <v>30</v>
      </c>
      <c r="J304" s="205">
        <f ca="1">IFERROR(__xludf.DUMMYFUNCTION("IMPORTRANGE(""https://docs.google.com/spreadsheets/d/1SX6NBoVAgQJ6U1MVXOaj8PK2l7WJ3RER9xtqwdhxkhw/edit?usp=sharing"",""ชลบุรี!J209"")"),0)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IFERROR(__xludf.DUMMYFUNCTION("IMPORTRANGE(""https://docs.google.com/spreadsheets/d/1SX6NBoVAgQJ6U1MVXOaj8PK2l7WJ3RER9xtqwdhxkhw/edit?usp=sharing"",""ชลบุรี!I211"")"),30)</f>
        <v>30</v>
      </c>
      <c r="J306" s="205">
        <f ca="1">IFERROR(__xludf.DUMMYFUNCTION("IMPORTRANGE(""https://docs.google.com/spreadsheets/d/1SX6NBoVAgQJ6U1MVXOaj8PK2l7WJ3RER9xtqwdhxkhw/edit?usp=sharing"",""ชลบุรี!J211"")"),0)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IFERROR(__xludf.DUMMYFUNCTION("IMPORTRANGE(""https://docs.google.com/spreadsheets/d/1SX6NBoVAgQJ6U1MVXOaj8PK2l7WJ3RER9xtqwdhxkhw/edit?usp=sharing"",""ชลบุรี!J213"")"),0)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IFERROR(__xludf.DUMMYFUNCTION("IMPORTRANGE(""https://docs.google.com/spreadsheets/d/1SX6NBoVAgQJ6U1MVXOaj8PK2l7WJ3RER9xtqwdhxkhw/edit?usp=sharing"",""ชลบุรี!I214"")"),2)</f>
        <v>2</v>
      </c>
      <c r="J309" s="333">
        <f ca="1">IFERROR(__xludf.DUMMYFUNCTION("IMPORTRANGE(""https://docs.google.com/spreadsheets/d/1SX6NBoVAgQJ6U1MVXOaj8PK2l7WJ3RER9xtqwdhxkhw/edit?usp=sharing"",""ชลบุรี!J214"")"),0)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359600</v>
      </c>
      <c r="M310" s="152">
        <f t="shared" ca="1" si="93"/>
        <v>179800</v>
      </c>
      <c r="N310" s="152">
        <f t="shared" ca="1" si="93"/>
        <v>142784</v>
      </c>
      <c r="O310" s="151">
        <f t="shared" ref="O310:O312" ca="1" si="94">IF(L310&gt;0,N310*100/L310,0)</f>
        <v>39.706340378198</v>
      </c>
      <c r="P310" s="151">
        <f t="shared" ref="P310:P312" ca="1" si="95">IF(M310&gt;0,N310*100/M310,0)</f>
        <v>79.412680756396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359600</v>
      </c>
      <c r="M312" s="157">
        <f t="shared" ca="1" si="97"/>
        <v>179800</v>
      </c>
      <c r="N312" s="157">
        <f t="shared" ca="1" si="97"/>
        <v>142784</v>
      </c>
      <c r="O312" s="156">
        <f t="shared" ca="1" si="94"/>
        <v>39.706340378198</v>
      </c>
      <c r="P312" s="156">
        <f t="shared" ca="1" si="95"/>
        <v>79.412680756396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359600</v>
      </c>
      <c r="M314" s="169">
        <f ca="1">IFERROR(__xludf.DUMMYFUNCTION("IMPORTRANGE(""https://docs.google.com/spreadsheets/d/1Yj_ptqi66GCucihVvJfMjLAmec39IyEx_6qawtMGysU/edit?usp=sharing"",""สบก!DC62"")"),179800)</f>
        <v>179800</v>
      </c>
      <c r="N314" s="170">
        <f ca="1">IFERROR(__xludf.DUMMYFUNCTION("IMPORTRANGE(""https://docs.google.com/spreadsheets/d/1Yj_ptqi66GCucihVvJfMjLAmec39IyEx_6qawtMGysU/edit?usp=sharing"",""สบก!DD62"")"),142784)</f>
        <v>142784</v>
      </c>
      <c r="O314" s="170">
        <f ca="1">IF(L314&gt;0,N314*100/L314,0)</f>
        <v>39.706340378198</v>
      </c>
      <c r="P314" s="170">
        <f ca="1">IF(M314&gt;0,N314*100/M314,0)</f>
        <v>79.412680756396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IFERROR(__xludf.DUMMYFUNCTION("IMPORTRANGE(""https://docs.google.com/spreadsheets/d/1Yj_ptqi66GCucihVvJfMjLAmec39IyEx_6qawtMGysU/edit?usp=sharing"",""สบก!CY62"")"),0)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IFERROR(__xludf.DUMMYFUNCTION("IMPORTRANGE(""https://docs.google.com/spreadsheets/d/1Yj_ptqi66GCucihVvJfMjLAmec39IyEx_6qawtMGysU/edit?usp=sharing"",""สบก!CZ62"")"),359600)</f>
        <v>359600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IFERROR(__xludf.DUMMYFUNCTION("IMPORTRANGE(""https://docs.google.com/spreadsheets/d/1SX6NBoVAgQJ6U1MVXOaj8PK2l7WJ3RER9xtqwdhxkhw/edit?usp=sharing"",""ชลบุรี!J220"")"),1)</f>
        <v>1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IFERROR(__xludf.DUMMYFUNCTION("IMPORTRANGE(""https://docs.google.com/spreadsheets/d/1SX6NBoVAgQJ6U1MVXOaj8PK2l7WJ3RER9xtqwdhxkhw/edit?usp=sharing"",""ชลบุรี!J221"")"),0)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IFERROR(__xludf.DUMMYFUNCTION("IMPORTRANGE(""https://docs.google.com/spreadsheets/d/1SX6NBoVAgQJ6U1MVXOaj8PK2l7WJ3RER9xtqwdhxkhw/edit?usp=sharing"",""ชลบุรี!J222"")"),0)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IFERROR(__xludf.DUMMYFUNCTION("IMPORTRANGE(""https://docs.google.com/spreadsheets/d/1SX6NBoVAgQJ6U1MVXOaj8PK2l7WJ3RER9xtqwdhxkhw/edit?usp=sharing"",""ชลบุรี!J223"")"),0)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IFERROR(__xludf.DUMMYFUNCTION("IMPORTRANGE(""https://docs.google.com/spreadsheets/d/1SX6NBoVAgQJ6U1MVXOaj8PK2l7WJ3RER9xtqwdhxkhw/edit?usp=sharing"",""ชลบุรี!I224"")"),2)</f>
        <v>2</v>
      </c>
      <c r="J324" s="205">
        <f ca="1">IFERROR(__xludf.DUMMYFUNCTION("IMPORTRANGE(""https://docs.google.com/spreadsheets/d/1SX6NBoVAgQJ6U1MVXOaj8PK2l7WJ3RER9xtqwdhxkhw/edit?usp=sharing"",""ชลบุรี!J224"")"),0)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IFERROR(__xludf.DUMMYFUNCTION("IMPORTRANGE(""https://docs.google.com/spreadsheets/d/1SX6NBoVAgQJ6U1MVXOaj8PK2l7WJ3RER9xtqwdhxkhw/edit?usp=sharing"",""ชลบุรี!J226"")"),0)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IFERROR(__xludf.DUMMYFUNCTION("IMPORTRANGE(""https://docs.google.com/spreadsheets/d/1SX6NBoVAgQJ6U1MVXOaj8PK2l7WJ3RER9xtqwdhxkhw/edit?usp=sharing"",""ชลบุรี!I228"")"),190)</f>
        <v>190</v>
      </c>
      <c r="J328" s="339">
        <f ca="1">IFERROR(__xludf.DUMMYFUNCTION("IMPORTRANGE(""https://docs.google.com/spreadsheets/d/1SX6NBoVAgQJ6U1MVXOaj8PK2l7WJ3RER9xtqwdhxkhw/edit?usp=sharing"",""ชลบุรี!J228"")"),163)</f>
        <v>163</v>
      </c>
      <c r="K328" s="317">
        <f ca="1">IF(I328&gt;0,J328*100/I328,0)</f>
        <v>85.78947368421052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920200</v>
      </c>
      <c r="M329" s="152">
        <f t="shared" ca="1" si="98"/>
        <v>515210</v>
      </c>
      <c r="N329" s="152">
        <f t="shared" ca="1" si="98"/>
        <v>482287</v>
      </c>
      <c r="O329" s="151">
        <f t="shared" ref="O329:O331" ca="1" si="99">IF(L329&gt;0,N329*100/L329,0)</f>
        <v>52.411106281243207</v>
      </c>
      <c r="P329" s="151">
        <f t="shared" ref="P329:P331" ca="1" si="100">IF(M329&gt;0,N329*100/M329,0)</f>
        <v>93.609790182643977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920200</v>
      </c>
      <c r="M331" s="157">
        <f t="shared" ca="1" si="102"/>
        <v>515210</v>
      </c>
      <c r="N331" s="157">
        <f t="shared" ca="1" si="102"/>
        <v>482287</v>
      </c>
      <c r="O331" s="156">
        <f t="shared" ca="1" si="99"/>
        <v>52.411106281243207</v>
      </c>
      <c r="P331" s="156">
        <f t="shared" ca="1" si="100"/>
        <v>93.609790182643977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893200</v>
      </c>
      <c r="M333" s="169">
        <f ca="1">IFERROR(__xludf.DUMMYFUNCTION("IMPORTRANGE(""https://docs.google.com/spreadsheets/d/1Yj_ptqi66GCucihVvJfMjLAmec39IyEx_6qawtMGysU/edit?usp=sharing"",""สบก!DL62"")"),488210)</f>
        <v>488210</v>
      </c>
      <c r="N333" s="170">
        <f ca="1">IFERROR(__xludf.DUMMYFUNCTION("IMPORTRANGE(""https://docs.google.com/spreadsheets/d/1Yj_ptqi66GCucihVvJfMjLAmec39IyEx_6qawtMGysU/edit?usp=sharing"",""สบก!DM62"")"),455287)</f>
        <v>455287</v>
      </c>
      <c r="O333" s="170">
        <f ca="1">IF(L333&gt;0,N333*100/L333,0)</f>
        <v>50.972570532915363</v>
      </c>
      <c r="P333" s="170">
        <f ca="1">IF(M333&gt;0,N333*100/M333,0)</f>
        <v>93.25638557178263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IFERROR(__xludf.DUMMYFUNCTION("IMPORTRANGE(""https://docs.google.com/spreadsheets/d/1Yj_ptqi66GCucihVvJfMjLAmec39IyEx_6qawtMGysU/edit?usp=sharing"",""สบก!DH62"")"),470000)</f>
        <v>470000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IFERROR(__xludf.DUMMYFUNCTION("IMPORTRANGE(""https://docs.google.com/spreadsheets/d/1Yj_ptqi66GCucihVvJfMjLAmec39IyEx_6qawtMGysU/edit?usp=sharing"",""สบก!DI62"")"),423200)</f>
        <v>423200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IFERROR(__xludf.DUMMYFUNCTION("IMPORTRANGE(""https://docs.google.com/spreadsheets/d/1SX6NBoVAgQJ6U1MVXOaj8PK2l7WJ3RER9xtqwdhxkhw/edit?usp=sharing"",""ชลบุรี!I234"")"),0)</f>
        <v>0</v>
      </c>
      <c r="J339" s="189">
        <f ca="1">IFERROR(__xludf.DUMMYFUNCTION("IMPORTRANGE(""https://docs.google.com/spreadsheets/d/1SX6NBoVAgQJ6U1MVXOaj8PK2l7WJ3RER9xtqwdhxkhw/edit?usp=sharing"",""ชลบุรี!J234"")"),262)</f>
        <v>262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IFERROR(__xludf.DUMMYFUNCTION("IMPORTRANGE(""https://docs.google.com/spreadsheets/d/1SX6NBoVAgQJ6U1MVXOaj8PK2l7WJ3RER9xtqwdhxkhw/edit?usp=sharing"",""ชลบุรี!I235"")"),2700)</f>
        <v>2700</v>
      </c>
      <c r="J340" s="189">
        <f ca="1">IFERROR(__xludf.DUMMYFUNCTION("IMPORTRANGE(""https://docs.google.com/spreadsheets/d/1SX6NBoVAgQJ6U1MVXOaj8PK2l7WJ3RER9xtqwdhxkhw/edit?usp=sharing"",""ชลบุรี!J235"")"),3199.56)</f>
        <v>3199.56</v>
      </c>
      <c r="K340" s="342">
        <f t="shared" ca="1" si="103"/>
        <v>118.50222222222222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IFERROR(__xludf.DUMMYFUNCTION("IMPORTRANGE(""https://docs.google.com/spreadsheets/d/1SX6NBoVAgQJ6U1MVXOaj8PK2l7WJ3RER9xtqwdhxkhw/edit?usp=sharing"",""ชลบุรี!I236"")"),190)</f>
        <v>190</v>
      </c>
      <c r="J341" s="189">
        <f ca="1">IFERROR(__xludf.DUMMYFUNCTION("IMPORTRANGE(""https://docs.google.com/spreadsheets/d/1SX6NBoVAgQJ6U1MVXOaj8PK2l7WJ3RER9xtqwdhxkhw/edit?usp=sharing"",""ชลบุรี!J236"")"),174)</f>
        <v>174</v>
      </c>
      <c r="K341" s="342">
        <f t="shared" ca="1" si="103"/>
        <v>91.578947368421055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9">
        <f ca="1">IFERROR(__xludf.DUMMYFUNCTION("IMPORTRANGE(""https://docs.google.com/spreadsheets/d/1SX6NBoVAgQJ6U1MVXOaj8PK2l7WJ3RER9xtqwdhxkhw/edit?usp=sharing"",""ชลบุรี!J237"")"),1811.49)</f>
        <v>1811.49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IFERROR(__xludf.DUMMYFUNCTION("IMPORTRANGE(""https://docs.google.com/spreadsheets/d/1SX6NBoVAgQJ6U1MVXOaj8PK2l7WJ3RER9xtqwdhxkhw/edit?usp=sharing"",""ชลบุรี!I238"")"),190)</f>
        <v>190</v>
      </c>
      <c r="J343" s="189">
        <f ca="1">IFERROR(__xludf.DUMMYFUNCTION("IMPORTRANGE(""https://docs.google.com/spreadsheets/d/1SX6NBoVAgQJ6U1MVXOaj8PK2l7WJ3RER9xtqwdhxkhw/edit?usp=sharing"",""ชลบุรี!J238"")"),0)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9">
        <f ca="1">IFERROR(__xludf.DUMMYFUNCTION("IMPORTRANGE(""https://docs.google.com/spreadsheets/d/1SX6NBoVAgQJ6U1MVXOaj8PK2l7WJ3RER9xtqwdhxkhw/edit?usp=sharing"",""ชลบุรี!J239"")"),0)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IFERROR(__xludf.DUMMYFUNCTION("IMPORTRANGE(""https://docs.google.com/spreadsheets/d/1SX6NBoVAgQJ6U1MVXOaj8PK2l7WJ3RER9xtqwdhxkhw/edit?usp=sharing"",""ชลบุรี!I240"")"),190)</f>
        <v>190</v>
      </c>
      <c r="J345" s="189">
        <f ca="1">IFERROR(__xludf.DUMMYFUNCTION("IMPORTRANGE(""https://docs.google.com/spreadsheets/d/1SX6NBoVAgQJ6U1MVXOaj8PK2l7WJ3RER9xtqwdhxkhw/edit?usp=sharing"",""ชลบุรี!J240"")"),163)</f>
        <v>163</v>
      </c>
      <c r="K345" s="342">
        <f t="shared" ca="1" si="103"/>
        <v>85.78947368421052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9">
        <f ca="1">IFERROR(__xludf.DUMMYFUNCTION("IMPORTRANGE(""https://docs.google.com/spreadsheets/d/1SX6NBoVAgQJ6U1MVXOaj8PK2l7WJ3RER9xtqwdhxkhw/edit?usp=sharing"",""ชลบุรี!J241"")"),1830.89999999999)</f>
        <v>1830.8999999999901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IFERROR(__xludf.DUMMYFUNCTION("IMPORTRANGE(""https://docs.google.com/spreadsheets/d/1SX6NBoVAgQJ6U1MVXOaj8PK2l7WJ3RER9xtqwdhxkhw/edit?usp=sharing"",""ชลบุรี!L242"")"),1606534)</f>
        <v>1606534</v>
      </c>
      <c r="M347" s="358"/>
      <c r="N347" s="358">
        <f ca="1">IFERROR(__xludf.DUMMYFUNCTION("IMPORTRANGE(""https://docs.google.com/spreadsheets/d/1SX6NBoVAgQJ6U1MVXOaj8PK2l7WJ3RER9xtqwdhxkhw/edit?usp=sharing"",""ชลบุรี!M242"")"),228313.85)</f>
        <v>228313.85</v>
      </c>
      <c r="O347" s="358">
        <f ca="1">+IF(L347&gt;0,N347*100/L347,0)</f>
        <v>14.211579088895721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IFERROR(__xludf.DUMMYFUNCTION("IMPORTRANGE(""https://docs.google.com/spreadsheets/d/1SX6NBoVAgQJ6U1MVXOaj8PK2l7WJ3RER9xtqwdhxkhw/edit?usp=sharing"",""ชลบุรี!M244"")"),46213)</f>
        <v>46213</v>
      </c>
      <c r="O349" s="373">
        <f ca="1">+IF(L349&gt;0,N349*100/L349,0)</f>
        <v>20.899511577424022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IFERROR(__xludf.DUMMYFUNCTION("IMPORTRANGE(""https://docs.google.com/spreadsheets/d/1SX6NBoVAgQJ6U1MVXOaj8PK2l7WJ3RER9xtqwdhxkhw/edit?usp=sharing"",""ชลบุรี!L246"")"),0)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IFERROR(__xludf.DUMMYFUNCTION("IMPORTRANGE(""https://docs.google.com/spreadsheets/d/1SX6NBoVAgQJ6U1MVXOaj8PK2l7WJ3RER9xtqwdhxkhw/edit?usp=sharing"",""ชลบุรี!M246"")"),0)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IFERROR(__xludf.DUMMYFUNCTION("IMPORTRANGE(""https://docs.google.com/spreadsheets/d/1SX6NBoVAgQJ6U1MVXOaj8PK2l7WJ3RER9xtqwdhxkhw/edit?usp=sharing"",""ชลบุรี!L247"")"),221120)</f>
        <v>221120</v>
      </c>
      <c r="M352" s="167"/>
      <c r="N352" s="166">
        <f ca="1">IFERROR(__xludf.DUMMYFUNCTION("IMPORTRANGE(""https://docs.google.com/spreadsheets/d/1SX6NBoVAgQJ6U1MVXOaj8PK2l7WJ3RER9xtqwdhxkhw/edit?usp=sharing"",""ชลบุรี!M247"")"),46213)</f>
        <v>46213</v>
      </c>
      <c r="O352" s="167">
        <f t="shared" ca="1" si="105"/>
        <v>20.899511577424022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IFERROR(__xludf.DUMMYFUNCTION("IMPORTRANGE(""https://docs.google.com/spreadsheets/d/1SX6NBoVAgQJ6U1MVXOaj8PK2l7WJ3RER9xtqwdhxkhw/edit?usp=sharing"",""ชลบุรี!L248"")"),0)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IFERROR(__xludf.DUMMYFUNCTION("IMPORTRANGE(""https://docs.google.com/spreadsheets/d/1SX6NBoVAgQJ6U1MVXOaj8PK2l7WJ3RER9xtqwdhxkhw/edit?usp=sharing"",""ชลบุรี!M248"")"),0)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IFERROR(__xludf.DUMMYFUNCTION("IMPORTRANGE(""https://docs.google.com/spreadsheets/d/1SX6NBoVAgQJ6U1MVXOaj8PK2l7WJ3RER9xtqwdhxkhw/edit?usp=sharing"",""ชลบุรี!L249"")"),221120)</f>
        <v>221120</v>
      </c>
      <c r="M354" s="170"/>
      <c r="N354" s="169">
        <f ca="1">IFERROR(__xludf.DUMMYFUNCTION("IMPORTRANGE(""https://docs.google.com/spreadsheets/d/1SX6NBoVAgQJ6U1MVXOaj8PK2l7WJ3RER9xtqwdhxkhw/edit?usp=sharing"",""ชลบุรี!M249"")"),46213)</f>
        <v>46213</v>
      </c>
      <c r="O354" s="170">
        <f t="shared" ca="1" si="105"/>
        <v>20.899511577424022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IFERROR(__xludf.DUMMYFUNCTION("IMPORTRANGE(""https://docs.google.com/spreadsheets/d/1SX6NBoVAgQJ6U1MVXOaj8PK2l7WJ3RER9xtqwdhxkhw/edit?usp=sharing"",""ชลบุรี!M250"")"),0)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IFERROR(__xludf.DUMMYFUNCTION("IMPORTRANGE(""https://docs.google.com/spreadsheets/d/1SX6NBoVAgQJ6U1MVXOaj8PK2l7WJ3RER9xtqwdhxkhw/edit?usp=sharing"",""ชลบุรี!M251"")"),0)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IFERROR(__xludf.DUMMYFUNCTION("IMPORTRANGE(""https://docs.google.com/spreadsheets/d/1SX6NBoVAgQJ6U1MVXOaj8PK2l7WJ3RER9xtqwdhxkhw/edit?usp=sharing"",""ชลบุรี!M252"")"),43633)</f>
        <v>43633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IFERROR(__xludf.DUMMYFUNCTION("IMPORTRANGE(""https://docs.google.com/spreadsheets/d/1SX6NBoVAgQJ6U1MVXOaj8PK2l7WJ3RER9xtqwdhxkhw/edit?usp=sharing"",""ชลบุรี!M253"")"),2580)</f>
        <v>2580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IFERROR(__xludf.DUMMYFUNCTION("IMPORTRANGE(""https://docs.google.com/spreadsheets/d/1SX6NBoVAgQJ6U1MVXOaj8PK2l7WJ3RER9xtqwdhxkhw/edit?usp=sharing"",""ชลบุรี!J255"")"),1)</f>
        <v>1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IFERROR(__xludf.DUMMYFUNCTION("IMPORTRANGE(""https://docs.google.com/spreadsheets/d/1SX6NBoVAgQJ6U1MVXOaj8PK2l7WJ3RER9xtqwdhxkhw/edit?usp=sharing"",""ชลบุรี!J256"")"),0)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IFERROR(__xludf.DUMMYFUNCTION("IMPORTRANGE(""https://docs.google.com/spreadsheets/d/1SX6NBoVAgQJ6U1MVXOaj8PK2l7WJ3RER9xtqwdhxkhw/edit?usp=sharing"",""ชลบุรี!J257"")"),0)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IFERROR(__xludf.DUMMYFUNCTION("IMPORTRANGE(""https://docs.google.com/spreadsheets/d/1SX6NBoVAgQJ6U1MVXOaj8PK2l7WJ3RER9xtqwdhxkhw/edit?usp=sharing"",""ชลบุรี!J258"")"),0)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IFERROR(__xludf.DUMMYFUNCTION("IMPORTRANGE(""https://docs.google.com/spreadsheets/d/1SX6NBoVAgQJ6U1MVXOaj8PK2l7WJ3RER9xtqwdhxkhw/edit?usp=sharing"",""ชลบุรี!J166"")"),0)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IFERROR(__xludf.DUMMYFUNCTION("IMPORTRANGE(""https://docs.google.com/spreadsheets/d/1SX6NBoVAgQJ6U1MVXOaj8PK2l7WJ3RER9xtqwdhxkhw/edit?usp=sharing"",""ชลบุรี!J166"")"),0)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IFERROR(__xludf.DUMMYFUNCTION("IMPORTRANGE(""https://docs.google.com/spreadsheets/d/1SX6NBoVAgQJ6U1MVXOaj8PK2l7WJ3RER9xtqwdhxkhw/edit?usp=sharing"",""ชลบุรี!J166"")"),0)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IFERROR(__xludf.DUMMYFUNCTION("IMPORTRANGE(""https://docs.google.com/spreadsheets/d/1SX6NBoVAgQJ6U1MVXOaj8PK2l7WJ3RER9xtqwdhxkhw/edit?usp=sharing"",""ชลบุรี!J166"")"),0)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IFERROR(__xludf.DUMMYFUNCTION("IMPORTRANGE(""https://docs.google.com/spreadsheets/d/1SX6NBoVAgQJ6U1MVXOaj8PK2l7WJ3RER9xtqwdhxkhw/edit?usp=sharing"",""ชลบุรี!I263"")"),20)</f>
        <v>20</v>
      </c>
      <c r="J368" s="189">
        <f ca="1">IFERROR(__xludf.DUMMYFUNCTION("IMPORTRANGE(""https://docs.google.com/spreadsheets/d/1SX6NBoVAgQJ6U1MVXOaj8PK2l7WJ3RER9xtqwdhxkhw/edit?usp=sharing"",""ชลบุรี!J263"")"),0)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IFERROR(__xludf.DUMMYFUNCTION("IMPORTRANGE(""https://docs.google.com/spreadsheets/d/1SX6NBoVAgQJ6U1MVXOaj8PK2l7WJ3RER9xtqwdhxkhw/edit?usp=sharing"",""ชลบุรี!I164"")"),0)</f>
        <v>0</v>
      </c>
      <c r="J369" s="205">
        <f ca="1">IFERROR(__xludf.DUMMYFUNCTION("IMPORTRANGE(""https://docs.google.com/spreadsheets/d/1SX6NBoVAgQJ6U1MVXOaj8PK2l7WJ3RER9xtqwdhxkhw/edit?usp=sharing"",""ชลบุรี!J164"")"),0)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IFERROR(__xludf.DUMMYFUNCTION("IMPORTRANGE(""https://docs.google.com/spreadsheets/d/1SX6NBoVAgQJ6U1MVXOaj8PK2l7WJ3RER9xtqwdhxkhw/edit?usp=sharing"",""ชลบุรี!I265"")"),20)</f>
        <v>20</v>
      </c>
      <c r="J370" s="205">
        <f ca="1">IFERROR(__xludf.DUMMYFUNCTION("IMPORTRANGE(""https://docs.google.com/spreadsheets/d/1SX6NBoVAgQJ6U1MVXOaj8PK2l7WJ3RER9xtqwdhxkhw/edit?usp=sharing"",""ชลบุรี!J265"")"),0)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IFERROR(__xludf.DUMMYFUNCTION("IMPORTRANGE(""https://docs.google.com/spreadsheets/d/1SX6NBoVAgQJ6U1MVXOaj8PK2l7WJ3RER9xtqwdhxkhw/edit?usp=sharing"",""ชลบุรี!I164"")"),0)</f>
        <v>0</v>
      </c>
      <c r="J371" s="190">
        <f ca="1">IFERROR(__xludf.DUMMYFUNCTION("IMPORTRANGE(""https://docs.google.com/spreadsheets/d/1SX6NBoVAgQJ6U1MVXOaj8PK2l7WJ3RER9xtqwdhxkhw/edit?usp=sharing"",""ชลบุรี!J164"")"),0)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IFERROR(__xludf.DUMMYFUNCTION("IMPORTRANGE(""https://docs.google.com/spreadsheets/d/1SX6NBoVAgQJ6U1MVXOaj8PK2l7WJ3RER9xtqwdhxkhw/edit?usp=sharing"",""ชลบุรี!I267"")"),20)</f>
        <v>20</v>
      </c>
      <c r="J372" s="190">
        <f ca="1">IFERROR(__xludf.DUMMYFUNCTION("IMPORTRANGE(""https://docs.google.com/spreadsheets/d/1SX6NBoVAgQJ6U1MVXOaj8PK2l7WJ3RER9xtqwdhxkhw/edit?usp=sharing"",""ชลบุรี!J267"")"),0)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IFERROR(__xludf.DUMMYFUNCTION("IMPORTRANGE(""https://docs.google.com/spreadsheets/d/1SX6NBoVAgQJ6U1MVXOaj8PK2l7WJ3RER9xtqwdhxkhw/edit?usp=sharing"",""ชลบุรี!I164"")"),0)</f>
        <v>0</v>
      </c>
      <c r="J373" s="205">
        <f ca="1">IFERROR(__xludf.DUMMYFUNCTION("IMPORTRANGE(""https://docs.google.com/spreadsheets/d/1SX6NBoVAgQJ6U1MVXOaj8PK2l7WJ3RER9xtqwdhxkhw/edit?usp=sharing"",""ชลบุรี!J164"")"),0)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IFERROR(__xludf.DUMMYFUNCTION("IMPORTRANGE(""https://docs.google.com/spreadsheets/d/1SX6NBoVAgQJ6U1MVXOaj8PK2l7WJ3RER9xtqwdhxkhw/edit?usp=sharing"",""ชลบุรี!I164"")"),0)</f>
        <v>0</v>
      </c>
      <c r="J374" s="189">
        <f ca="1">IFERROR(__xludf.DUMMYFUNCTION("IMPORTRANGE(""https://docs.google.com/spreadsheets/d/1SX6NBoVAgQJ6U1MVXOaj8PK2l7WJ3RER9xtqwdhxkhw/edit?usp=sharing"",""ชลบุรี!J164"")"),0)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IFERROR(__xludf.DUMMYFUNCTION("IMPORTRANGE(""https://docs.google.com/spreadsheets/d/1SX6NBoVAgQJ6U1MVXOaj8PK2l7WJ3RER9xtqwdhxkhw/edit?usp=sharing"",""ชลบุรี!I270"")"),20)</f>
        <v>20</v>
      </c>
      <c r="J375" s="189">
        <f ca="1">IFERROR(__xludf.DUMMYFUNCTION("IMPORTRANGE(""https://docs.google.com/spreadsheets/d/1SX6NBoVAgQJ6U1MVXOaj8PK2l7WJ3RER9xtqwdhxkhw/edit?usp=sharing"",""ชลบุรี!J270"")"),0)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IFERROR(__xludf.DUMMYFUNCTION("IMPORTRANGE(""https://docs.google.com/spreadsheets/d/1SX6NBoVAgQJ6U1MVXOaj8PK2l7WJ3RER9xtqwdhxkhw/edit?usp=sharing"",""ชลบุรี!I271"")"),0)</f>
        <v>0</v>
      </c>
      <c r="J376" s="190">
        <f ca="1">IFERROR(__xludf.DUMMYFUNCTION("IMPORTRANGE(""https://docs.google.com/spreadsheets/d/1SX6NBoVAgQJ6U1MVXOaj8PK2l7WJ3RER9xtqwdhxkhw/edit?usp=sharing"",""ชลบุรี!J271"")"),0)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IFERROR(__xludf.DUMMYFUNCTION("IMPORTRANGE(""https://docs.google.com/spreadsheets/d/1SX6NBoVAgQJ6U1MVXOaj8PK2l7WJ3RER9xtqwdhxkhw/edit?usp=sharing"",""ชลบุรี!I272"")"),20)</f>
        <v>20</v>
      </c>
      <c r="J377" s="205">
        <f ca="1">IFERROR(__xludf.DUMMYFUNCTION("IMPORTRANGE(""https://docs.google.com/spreadsheets/d/1SX6NBoVAgQJ6U1MVXOaj8PK2l7WJ3RER9xtqwdhxkhw/edit?usp=sharing"",""ชลบุรี!J272"")"),0)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IFERROR(__xludf.DUMMYFUNCTION("IMPORTRANGE(""https://docs.google.com/spreadsheets/d/1SX6NBoVAgQJ6U1MVXOaj8PK2l7WJ3RER9xtqwdhxkhw/edit?usp=sharing"",""ชลบุรี!J273"")"),0)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IFERROR(__xludf.DUMMYFUNCTION("IMPORTRANGE(""https://docs.google.com/spreadsheets/d/1SX6NBoVAgQJ6U1MVXOaj8PK2l7WJ3RER9xtqwdhxkhw/edit?usp=sharing"",""ชลบุรี!J274"")"),0)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IFERROR(__xludf.DUMMYFUNCTION("IMPORTRANGE(""https://docs.google.com/spreadsheets/d/1SX6NBoVAgQJ6U1MVXOaj8PK2l7WJ3RER9xtqwdhxkhw/edit?usp=sharing"",""ชลบุรี!M275"")"),43823)</f>
        <v>43823</v>
      </c>
      <c r="O380" s="373">
        <f ca="1">+IF(L380&gt;0,N380*100/L380,0)</f>
        <v>9.5238405702612248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IFERROR(__xludf.DUMMYFUNCTION("IMPORTRANGE(""https://docs.google.com/spreadsheets/d/1SX6NBoVAgQJ6U1MVXOaj8PK2l7WJ3RER9xtqwdhxkhw/edit?usp=sharing"",""ชลบุรี!L277"")"),0)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IFERROR(__xludf.DUMMYFUNCTION("IMPORTRANGE(""https://docs.google.com/spreadsheets/d/1SX6NBoVAgQJ6U1MVXOaj8PK2l7WJ3RER9xtqwdhxkhw/edit?usp=sharing"",""ชลบุรี!M277"")"),0)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IFERROR(__xludf.DUMMYFUNCTION("IMPORTRANGE(""https://docs.google.com/spreadsheets/d/1SX6NBoVAgQJ6U1MVXOaj8PK2l7WJ3RER9xtqwdhxkhw/edit?usp=sharing"",""ชลบุรี!L278"")"),460140)</f>
        <v>460140</v>
      </c>
      <c r="M383" s="167"/>
      <c r="N383" s="167">
        <f ca="1">IFERROR(__xludf.DUMMYFUNCTION("IMPORTRANGE(""https://docs.google.com/spreadsheets/d/1SX6NBoVAgQJ6U1MVXOaj8PK2l7WJ3RER9xtqwdhxkhw/edit?usp=sharing"",""ชลบุรี!M278"")"),43823)</f>
        <v>43823</v>
      </c>
      <c r="O383" s="167">
        <f t="shared" ca="1" si="109"/>
        <v>9.5238405702612248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IFERROR(__xludf.DUMMYFUNCTION("IMPORTRANGE(""https://docs.google.com/spreadsheets/d/1SX6NBoVAgQJ6U1MVXOaj8PK2l7WJ3RER9xtqwdhxkhw/edit?usp=sharing"",""ชลบุรี!L279"")"),0)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IFERROR(__xludf.DUMMYFUNCTION("IMPORTRANGE(""https://docs.google.com/spreadsheets/d/1SX6NBoVAgQJ6U1MVXOaj8PK2l7WJ3RER9xtqwdhxkhw/edit?usp=sharing"",""ชลบุรี!M279"")"),0)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IFERROR(__xludf.DUMMYFUNCTION("IMPORTRANGE(""https://docs.google.com/spreadsheets/d/1SX6NBoVAgQJ6U1MVXOaj8PK2l7WJ3RER9xtqwdhxkhw/edit?usp=sharing"",""ชลบุรี!L280"")"),460140)</f>
        <v>460140</v>
      </c>
      <c r="M385" s="170"/>
      <c r="N385" s="169">
        <f ca="1">IFERROR(__xludf.DUMMYFUNCTION("IMPORTRANGE(""https://docs.google.com/spreadsheets/d/1SX6NBoVAgQJ6U1MVXOaj8PK2l7WJ3RER9xtqwdhxkhw/edit?usp=sharing"",""ชลบุรี!M280"")"),43823)</f>
        <v>43823</v>
      </c>
      <c r="O385" s="170">
        <f t="shared" ca="1" si="109"/>
        <v>9.5238405702612248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IFERROR(__xludf.DUMMYFUNCTION("IMPORTRANGE(""https://docs.google.com/spreadsheets/d/1SX6NBoVAgQJ6U1MVXOaj8PK2l7WJ3RER9xtqwdhxkhw/edit?usp=sharing"",""ชลบุรี!M281"")"),32720)</f>
        <v>32720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IFERROR(__xludf.DUMMYFUNCTION("IMPORTRANGE(""https://docs.google.com/spreadsheets/d/1SX6NBoVAgQJ6U1MVXOaj8PK2l7WJ3RER9xtqwdhxkhw/edit?usp=sharing"",""ชลบุรี!M284"")"),11103)</f>
        <v>11103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IFERROR(__xludf.DUMMYFUNCTION("IMPORTRANGE(""https://docs.google.com/spreadsheets/d/1SX6NBoVAgQJ6U1MVXOaj8PK2l7WJ3RER9xtqwdhxkhw/edit?usp=sharing"",""ชลบุรี!J286"")"),0)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IFERROR(__xludf.DUMMYFUNCTION("IMPORTRANGE(""https://docs.google.com/spreadsheets/d/1SX6NBoVAgQJ6U1MVXOaj8PK2l7WJ3RER9xtqwdhxkhw/edit?usp=sharing"",""ชลบุรี!J287"")"),0)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IFERROR(__xludf.DUMMYFUNCTION("IMPORTRANGE(""https://docs.google.com/spreadsheets/d/1SX6NBoVAgQJ6U1MVXOaj8PK2l7WJ3RER9xtqwdhxkhw/edit?usp=sharing"",""ชลบุรี!J288"")"),0)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IFERROR(__xludf.DUMMYFUNCTION("IMPORTRANGE(""https://docs.google.com/spreadsheets/d/1SX6NBoVAgQJ6U1MVXOaj8PK2l7WJ3RER9xtqwdhxkhw/edit?usp=sharing"",""ชลบุรี!J289"")"),0)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IFERROR(__xludf.DUMMYFUNCTION("IMPORTRANGE(""https://docs.google.com/spreadsheets/d/1SX6NBoVAgQJ6U1MVXOaj8PK2l7WJ3RER9xtqwdhxkhw/edit?usp=sharing"",""ชลบุรี!I291"")"),50)</f>
        <v>50</v>
      </c>
      <c r="J396" s="199">
        <f ca="1">IFERROR(__xludf.DUMMYFUNCTION("IMPORTRANGE(""https://docs.google.com/spreadsheets/d/1SX6NBoVAgQJ6U1MVXOaj8PK2l7WJ3RER9xtqwdhxkhw/edit?usp=sharing"",""ชลบุรี!J291"")"),0)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IFERROR(__xludf.DUMMYFUNCTION("IMPORTRANGE(""https://docs.google.com/spreadsheets/d/1SX6NBoVAgQJ6U1MVXOaj8PK2l7WJ3RER9xtqwdhxkhw/edit?usp=sharing"",""ชลบุรี!I292"")"),500)</f>
        <v>500</v>
      </c>
      <c r="J397" s="199">
        <f ca="1">IFERROR(__xludf.DUMMYFUNCTION("IMPORTRANGE(""https://docs.google.com/spreadsheets/d/1SX6NBoVAgQJ6U1MVXOaj8PK2l7WJ3RER9xtqwdhxkhw/edit?usp=sharing"",""ชลบุรี!J292"")"),0)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IFERROR(__xludf.DUMMYFUNCTION("IMPORTRANGE(""https://docs.google.com/spreadsheets/d/1SX6NBoVAgQJ6U1MVXOaj8PK2l7WJ3RER9xtqwdhxkhw/edit?usp=sharing"",""ชลบุรี!I293"")"),50)</f>
        <v>50</v>
      </c>
      <c r="J398" s="199">
        <f ca="1">IFERROR(__xludf.DUMMYFUNCTION("IMPORTRANGE(""https://docs.google.com/spreadsheets/d/1SX6NBoVAgQJ6U1MVXOaj8PK2l7WJ3RER9xtqwdhxkhw/edit?usp=sharing"",""ชลบุรี!J293"")"),0)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IFERROR(__xludf.DUMMYFUNCTION("IMPORTRANGE(""https://docs.google.com/spreadsheets/d/1SX6NBoVAgQJ6U1MVXOaj8PK2l7WJ3RER9xtqwdhxkhw/edit?usp=sharing"",""ชลบุรี!J294"")"),0)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IFERROR(__xludf.DUMMYFUNCTION("IMPORTRANGE(""https://docs.google.com/spreadsheets/d/1SX6NBoVAgQJ6U1MVXOaj8PK2l7WJ3RER9xtqwdhxkhw/edit?usp=sharing"",""ชลบุรี!J295"")"),0)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IFERROR(__xludf.DUMMYFUNCTION("IMPORTRANGE(""https://docs.google.com/spreadsheets/d/1SX6NBoVAgQJ6U1MVXOaj8PK2l7WJ3RER9xtqwdhxkhw/edit?usp=sharing"",""ชลบุรี!M296"")"),25509)</f>
        <v>25509</v>
      </c>
      <c r="O401" s="373">
        <f ca="1">+IF(L401&gt;0,N401*100/L401,0)</f>
        <v>25.028453689167975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IFERROR(__xludf.DUMMYFUNCTION("IMPORTRANGE(""https://docs.google.com/spreadsheets/d/1SX6NBoVAgQJ6U1MVXOaj8PK2l7WJ3RER9xtqwdhxkhw/edit?usp=sharing"",""ชลบุรี!L298"")"),0)</f>
        <v>0</v>
      </c>
      <c r="M403" s="166"/>
      <c r="N403" s="170">
        <f ca="1">IFERROR(__xludf.DUMMYFUNCTION("IMPORTRANGE(""https://docs.google.com/spreadsheets/d/1SX6NBoVAgQJ6U1MVXOaj8PK2l7WJ3RER9xtqwdhxkhw/edit?usp=sharing"",""ชลบุรี!M298"")"),0)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IFERROR(__xludf.DUMMYFUNCTION("IMPORTRANGE(""https://docs.google.com/spreadsheets/d/1SX6NBoVAgQJ6U1MVXOaj8PK2l7WJ3RER9xtqwdhxkhw/edit?usp=sharing"",""ชลบุรี!L299"")"),101920)</f>
        <v>101920</v>
      </c>
      <c r="M404" s="167"/>
      <c r="N404" s="170">
        <f ca="1">IFERROR(__xludf.DUMMYFUNCTION("IMPORTRANGE(""https://docs.google.com/spreadsheets/d/1SX6NBoVAgQJ6U1MVXOaj8PK2l7WJ3RER9xtqwdhxkhw/edit?usp=sharing"",""ชลบุรี!M299"")"),25509)</f>
        <v>25509</v>
      </c>
      <c r="O404" s="170">
        <f t="shared" ca="1" si="112"/>
        <v>25.028453689167975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IFERROR(__xludf.DUMMYFUNCTION("IMPORTRANGE(""https://docs.google.com/spreadsheets/d/1SX6NBoVAgQJ6U1MVXOaj8PK2l7WJ3RER9xtqwdhxkhw/edit?usp=sharing"",""ชลบุรี!L300"")"),0)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IFERROR(__xludf.DUMMYFUNCTION("IMPORTRANGE(""https://docs.google.com/spreadsheets/d/1SX6NBoVAgQJ6U1MVXOaj8PK2l7WJ3RER9xtqwdhxkhw/edit?usp=sharing"",""ชลบุรี!M300"")"),0)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IFERROR(__xludf.DUMMYFUNCTION("IMPORTRANGE(""https://docs.google.com/spreadsheets/d/1SX6NBoVAgQJ6U1MVXOaj8PK2l7WJ3RER9xtqwdhxkhw/edit?usp=sharing"",""ชลบุรี!L301"")"),101920)</f>
        <v>101920</v>
      </c>
      <c r="M406" s="170"/>
      <c r="N406" s="170">
        <f ca="1">IFERROR(__xludf.DUMMYFUNCTION("IMPORTRANGE(""https://docs.google.com/spreadsheets/d/1SX6NBoVAgQJ6U1MVXOaj8PK2l7WJ3RER9xtqwdhxkhw/edit?usp=sharing"",""ชลบุรี!M301"")"),25509)</f>
        <v>25509</v>
      </c>
      <c r="O406" s="170">
        <f t="shared" ca="1" si="112"/>
        <v>25.028453689167975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IFERROR(__xludf.DUMMYFUNCTION("IMPORTRANGE(""https://docs.google.com/spreadsheets/d/1SX6NBoVAgQJ6U1MVXOaj8PK2l7WJ3RER9xtqwdhxkhw/edit?usp=sharing"",""ชลบุรี!M303"")"),0)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IFERROR(__xludf.DUMMYFUNCTION("IMPORTRANGE(""https://docs.google.com/spreadsheets/d/1SX6NBoVAgQJ6U1MVXOaj8PK2l7WJ3RER9xtqwdhxkhw/edit?usp=sharing"",""ชลบุรี!J307"")"),0)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IFERROR(__xludf.DUMMYFUNCTION("IMPORTRANGE(""https://docs.google.com/spreadsheets/d/1SX6NBoVAgQJ6U1MVXOaj8PK2l7WJ3RER9xtqwdhxkhw/edit?usp=sharing"",""ชลบุรี!J308"")"),1)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IFERROR(__xludf.DUMMYFUNCTION("IMPORTRANGE(""https://docs.google.com/spreadsheets/d/1SX6NBoVAgQJ6U1MVXOaj8PK2l7WJ3RER9xtqwdhxkhw/edit?usp=sharing"",""ชลบุรี!J309"")"),1)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IFERROR(__xludf.DUMMYFUNCTION("IMPORTRANGE(""https://docs.google.com/spreadsheets/d/1SX6NBoVAgQJ6U1MVXOaj8PK2l7WJ3RER9xtqwdhxkhw/edit?usp=sharing"",""ชลบุรี!J310"")"),1)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IFERROR(__xludf.DUMMYFUNCTION("IMPORTRANGE(""https://docs.google.com/spreadsheets/d/1SX6NBoVAgQJ6U1MVXOaj8PK2l7WJ3RER9xtqwdhxkhw/edit?usp=sharing"",""ชลบุรี!I311"")"),30)</f>
        <v>30</v>
      </c>
      <c r="J416" s="202">
        <f ca="1">IFERROR(__xludf.DUMMYFUNCTION("IMPORTRANGE(""https://docs.google.com/spreadsheets/d/1SX6NBoVAgQJ6U1MVXOaj8PK2l7WJ3RER9xtqwdhxkhw/edit?usp=sharing"",""ชลบุรี!J311"")"),30)</f>
        <v>30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IFERROR(__xludf.DUMMYFUNCTION("IMPORTRANGE(""https://docs.google.com/spreadsheets/d/1SX6NBoVAgQJ6U1MVXOaj8PK2l7WJ3RER9xtqwdhxkhw/edit?usp=sharing"",""ชลบุรี!J328"")"),0)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IFERROR(__xludf.DUMMYFUNCTION("IMPORTRANGE(""https://docs.google.com/spreadsheets/d/1SX6NBoVAgQJ6U1MVXOaj8PK2l7WJ3RER9xtqwdhxkhw/edit?usp=sharing"",""ชลบุรี!J329"")"),0)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IFERROR(__xludf.DUMMYFUNCTION("IMPORTRANGE(""https://docs.google.com/spreadsheets/d/1SX6NBoVAgQJ6U1MVXOaj8PK2l7WJ3RER9xtqwdhxkhw/edit?usp=sharing"",""ชลบุรี!M330"")"),68649)</f>
        <v>68649</v>
      </c>
      <c r="O435" s="412">
        <f t="shared" ref="O435:O439" ca="1" si="114">+IF(L435&gt;0,N435*100/L435,0)</f>
        <v>78.010227272727278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IFERROR(__xludf.DUMMYFUNCTION("IMPORTRANGE(""https://docs.google.com/spreadsheets/d/1SX6NBoVAgQJ6U1MVXOaj8PK2l7WJ3RER9xtqwdhxkhw/edit?usp=sharing"",""ชลบุรี!L331"")"),0)</f>
        <v>0</v>
      </c>
      <c r="M436" s="166"/>
      <c r="N436" s="170">
        <f ca="1">IFERROR(__xludf.DUMMYFUNCTION("IMPORTRANGE(""https://docs.google.com/spreadsheets/d/1SX6NBoVAgQJ6U1MVXOaj8PK2l7WJ3RER9xtqwdhxkhw/edit?usp=sharing"",""ชลบุรี!M331"")"),0)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IFERROR(__xludf.DUMMYFUNCTION("IMPORTRANGE(""https://docs.google.com/spreadsheets/d/1SX6NBoVAgQJ6U1MVXOaj8PK2l7WJ3RER9xtqwdhxkhw/edit?usp=sharing"",""ชลบุรี!L332"")"),88000)</f>
        <v>88000</v>
      </c>
      <c r="M437" s="167"/>
      <c r="N437" s="170">
        <f ca="1">IFERROR(__xludf.DUMMYFUNCTION("IMPORTRANGE(""https://docs.google.com/spreadsheets/d/1SX6NBoVAgQJ6U1MVXOaj8PK2l7WJ3RER9xtqwdhxkhw/edit?usp=sharing"",""ชลบุรี!M332"")"),68649)</f>
        <v>68649</v>
      </c>
      <c r="O437" s="170">
        <f t="shared" ca="1" si="114"/>
        <v>78.010227272727278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IFERROR(__xludf.DUMMYFUNCTION("IMPORTRANGE(""https://docs.google.com/spreadsheets/d/1SX6NBoVAgQJ6U1MVXOaj8PK2l7WJ3RER9xtqwdhxkhw/edit?usp=sharing"",""ชลบุรี!L333"")"),0)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IFERROR(__xludf.DUMMYFUNCTION("IMPORTRANGE(""https://docs.google.com/spreadsheets/d/1SX6NBoVAgQJ6U1MVXOaj8PK2l7WJ3RER9xtqwdhxkhw/edit?usp=sharing"",""ชลบุรี!M333"")"),0)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IFERROR(__xludf.DUMMYFUNCTION("IMPORTRANGE(""https://docs.google.com/spreadsheets/d/1SX6NBoVAgQJ6U1MVXOaj8PK2l7WJ3RER9xtqwdhxkhw/edit?usp=sharing"",""ชลบุรี!L334"")"),88000)</f>
        <v>88000</v>
      </c>
      <c r="M439" s="170"/>
      <c r="N439" s="170">
        <f ca="1">IFERROR(__xludf.DUMMYFUNCTION("IMPORTRANGE(""https://docs.google.com/spreadsheets/d/1SX6NBoVAgQJ6U1MVXOaj8PK2l7WJ3RER9xtqwdhxkhw/edit?usp=sharing"",""ชลบุรี!M334"")"),68649)</f>
        <v>68649</v>
      </c>
      <c r="O439" s="170">
        <f t="shared" ca="1" si="114"/>
        <v>78.010227272727278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IFERROR(__xludf.DUMMYFUNCTION("IMPORTRANGE(""https://docs.google.com/spreadsheets/d/1SX6NBoVAgQJ6U1MVXOaj8PK2l7WJ3RER9xtqwdhxkhw/edit?usp=sharing"",""ชลบุรี!M335"")"),64149)</f>
        <v>64149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IFERROR(__xludf.DUMMYFUNCTION("IMPORTRANGE(""https://docs.google.com/spreadsheets/d/1SX6NBoVAgQJ6U1MVXOaj8PK2l7WJ3RER9xtqwdhxkhw/edit?usp=sharing"",""ชลบุรี!M338"")"),4500)</f>
        <v>4500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IFERROR(__xludf.DUMMYFUNCTION("IMPORTRANGE(""https://docs.google.com/spreadsheets/d/1SX6NBoVAgQJ6U1MVXOaj8PK2l7WJ3RER9xtqwdhxkhw/edit?usp=sharing"",""ชลบุรี!J342"")"),1)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IFERROR(__xludf.DUMMYFUNCTION("IMPORTRANGE(""https://docs.google.com/spreadsheets/d/1SX6NBoVAgQJ6U1MVXOaj8PK2l7WJ3RER9xtqwdhxkhw/edit?usp=sharing"",""ชลบุรี!J343"")"),1)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2">
        <f ca="1">IFERROR(__xludf.DUMMYFUNCTION("IMPORTRANGE(""https://docs.google.com/spreadsheets/d/1SX6NBoVAgQJ6U1MVXOaj8PK2l7WJ3RER9xtqwdhxkhw/edit?usp=sharing"",""ชลบุรี!J344"")"),0)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IFERROR(__xludf.DUMMYFUNCTION("IMPORTRANGE(""https://docs.google.com/spreadsheets/d/1SX6NBoVAgQJ6U1MVXOaj8PK2l7WJ3RER9xtqwdhxkhw/edit?usp=sharing"",""ชลบุรี!I345"")"),15)</f>
        <v>15</v>
      </c>
      <c r="J450" s="190">
        <f ca="1">IFERROR(__xludf.DUMMYFUNCTION("IMPORTRANGE(""https://docs.google.com/spreadsheets/d/1SX6NBoVAgQJ6U1MVXOaj8PK2l7WJ3RER9xtqwdhxkhw/edit?usp=sharing"",""ชลบุรี!J345"")"),0)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IFERROR(__xludf.DUMMYFUNCTION("IMPORTRANGE(""https://docs.google.com/spreadsheets/d/1SX6NBoVAgQJ6U1MVXOaj8PK2l7WJ3RER9xtqwdhxkhw/edit?usp=sharing"",""ชลบุรี!I346"")"),0)</f>
        <v>0</v>
      </c>
      <c r="J451" s="189">
        <f ca="1">IFERROR(__xludf.DUMMYFUNCTION("IMPORTRANGE(""https://docs.google.com/spreadsheets/d/1SX6NBoVAgQJ6U1MVXOaj8PK2l7WJ3RER9xtqwdhxkhw/edit?usp=sharing"",""ชลบุรี!J346"")"),0)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IFERROR(__xludf.DUMMYFUNCTION("IMPORTRANGE(""https://docs.google.com/spreadsheets/d/1SX6NBoVAgQJ6U1MVXOaj8PK2l7WJ3RER9xtqwdhxkhw/edit?usp=sharing"",""ชลบุรี!I347"")"),0)</f>
        <v>0</v>
      </c>
      <c r="J452" s="189">
        <f ca="1">IFERROR(__xludf.DUMMYFUNCTION("IMPORTRANGE(""https://docs.google.com/spreadsheets/d/1SX6NBoVAgQJ6U1MVXOaj8PK2l7WJ3RER9xtqwdhxkhw/edit?usp=sharing"",""ชลบุรี!J347"")"),0)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IFERROR(__xludf.DUMMYFUNCTION("IMPORTRANGE(""https://docs.google.com/spreadsheets/d/1SX6NBoVAgQJ6U1MVXOaj8PK2l7WJ3RER9xtqwdhxkhw/edit?usp=sharing"",""ชลบุรี!J348"")"),0)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IFERROR(__xludf.DUMMYFUNCTION("IMPORTRANGE(""https://docs.google.com/spreadsheets/d/1SX6NBoVAgQJ6U1MVXOaj8PK2l7WJ3RER9xtqwdhxkhw/edit?usp=sharing"",""ชลบุรี!J349"")"),0)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IFERROR(__xludf.DUMMYFUNCTION("IMPORTRANGE(""https://docs.google.com/spreadsheets/d/1SX6NBoVAgQJ6U1MVXOaj8PK2l7WJ3RER9xtqwdhxkhw/edit?usp=sharing"",""ชลบุรี!L350"")"),577044)</f>
        <v>577044</v>
      </c>
      <c r="M455" s="373"/>
      <c r="N455" s="373">
        <f ca="1">IFERROR(__xludf.DUMMYFUNCTION("IMPORTRANGE(""https://docs.google.com/spreadsheets/d/1SX6NBoVAgQJ6U1MVXOaj8PK2l7WJ3RER9xtqwdhxkhw/edit?usp=sharing"",""ชลบุรี!M350"")"),29758)</f>
        <v>29758</v>
      </c>
      <c r="O455" s="373">
        <f t="shared" ref="O455:O459" ca="1" si="116">+IF(L455&gt;0,N455*100/L455,0)</f>
        <v>5.1569724319116048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IFERROR(__xludf.DUMMYFUNCTION("IMPORTRANGE(""https://docs.google.com/spreadsheets/d/1SX6NBoVAgQJ6U1MVXOaj8PK2l7WJ3RER9xtqwdhxkhw/edit?usp=sharing"",""ชลบุรี!L351"")"),0)</f>
        <v>0</v>
      </c>
      <c r="M456" s="166"/>
      <c r="N456" s="170">
        <f ca="1">IFERROR(__xludf.DUMMYFUNCTION("IMPORTRANGE(""https://docs.google.com/spreadsheets/d/1SX6NBoVAgQJ6U1MVXOaj8PK2l7WJ3RER9xtqwdhxkhw/edit?usp=sharing"",""ชลบุรี!M351"")"),0)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IFERROR(__xludf.DUMMYFUNCTION("IMPORTRANGE(""https://docs.google.com/spreadsheets/d/1SX6NBoVAgQJ6U1MVXOaj8PK2l7WJ3RER9xtqwdhxkhw/edit?usp=sharing"",""ชลบุรี!L352"")"),577044)</f>
        <v>577044</v>
      </c>
      <c r="M457" s="167"/>
      <c r="N457" s="170">
        <f ca="1">IFERROR(__xludf.DUMMYFUNCTION("IMPORTRANGE(""https://docs.google.com/spreadsheets/d/1SX6NBoVAgQJ6U1MVXOaj8PK2l7WJ3RER9xtqwdhxkhw/edit?usp=sharing"",""ชลบุรี!M352"")"),29758)</f>
        <v>29758</v>
      </c>
      <c r="O457" s="170">
        <f t="shared" ca="1" si="116"/>
        <v>5.1569724319116048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IFERROR(__xludf.DUMMYFUNCTION("IMPORTRANGE(""https://docs.google.com/spreadsheets/d/1SX6NBoVAgQJ6U1MVXOaj8PK2l7WJ3RER9xtqwdhxkhw/edit?usp=sharing"",""ชลบุรี!L353"")"),0)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IFERROR(__xludf.DUMMYFUNCTION("IMPORTRANGE(""https://docs.google.com/spreadsheets/d/1SX6NBoVAgQJ6U1MVXOaj8PK2l7WJ3RER9xtqwdhxkhw/edit?usp=sharing"",""ชลบุรี!M353"")"),0)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IFERROR(__xludf.DUMMYFUNCTION("IMPORTRANGE(""https://docs.google.com/spreadsheets/d/1SX6NBoVAgQJ6U1MVXOaj8PK2l7WJ3RER9xtqwdhxkhw/edit?usp=sharing"",""ชลบุรี!L354"")"),577044)</f>
        <v>577044</v>
      </c>
      <c r="M459" s="170"/>
      <c r="N459" s="170">
        <f ca="1">IFERROR(__xludf.DUMMYFUNCTION("IMPORTRANGE(""https://docs.google.com/spreadsheets/d/1SX6NBoVAgQJ6U1MVXOaj8PK2l7WJ3RER9xtqwdhxkhw/edit?usp=sharing"",""ชลบุรี!M354"")"),29758)</f>
        <v>29758</v>
      </c>
      <c r="O459" s="170">
        <f t="shared" ca="1" si="116"/>
        <v>5.1569724319116048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IFERROR(__xludf.DUMMYFUNCTION("IMPORTRANGE(""https://docs.google.com/spreadsheets/d/1SX6NBoVAgQJ6U1MVXOaj8PK2l7WJ3RER9xtqwdhxkhw/edit?usp=sharing"",""ชลบุรี!M355"")"),0)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IFERROR(__xludf.DUMMYFUNCTION("IMPORTRANGE(""https://docs.google.com/spreadsheets/d/1SX6NBoVAgQJ6U1MVXOaj8PK2l7WJ3RER9xtqwdhxkhw/edit?usp=sharing"",""ชลบุรี!M356"")"),0)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IFERROR(__xludf.DUMMYFUNCTION("IMPORTRANGE(""https://docs.google.com/spreadsheets/d/1SX6NBoVAgQJ6U1MVXOaj8PK2l7WJ3RER9xtqwdhxkhw/edit?usp=sharing"",""ชลบุรี!M357"")"),0)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IFERROR(__xludf.DUMMYFUNCTION("IMPORTRANGE(""https://docs.google.com/spreadsheets/d/1SX6NBoVAgQJ6U1MVXOaj8PK2l7WJ3RER9xtqwdhxkhw/edit?usp=sharing"",""ชลบุรี!M358"")"),29758)</f>
        <v>29758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IFERROR(__xludf.DUMMYFUNCTION("IMPORTRANGE(""https://docs.google.com/spreadsheets/d/1SX6NBoVAgQJ6U1MVXOaj8PK2l7WJ3RER9xtqwdhxkhw/edit?usp=sharing"",""ชลบุรี!J360"")"),60803)</f>
        <v>60803</v>
      </c>
      <c r="K465" s="203">
        <f t="shared" ca="1" si="117"/>
        <v>85.592218249387656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IFERROR(__xludf.DUMMYFUNCTION("IMPORTRANGE(""https://docs.google.com/spreadsheets/d/1SX6NBoVAgQJ6U1MVXOaj8PK2l7WJ3RER9xtqwdhxkhw/edit?usp=sharing"",""ชลบุรี!J361"")"),4627)</f>
        <v>4627</v>
      </c>
      <c r="K466" s="203">
        <f t="shared" ca="1" si="117"/>
        <v>87.5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IFERROR(__xludf.DUMMYFUNCTION("IMPORTRANGE(""https://docs.google.com/spreadsheets/d/1SX6NBoVAgQJ6U1MVXOaj8PK2l7WJ3RER9xtqwdhxkhw/edit?usp=sharing"",""ชลบุรี!I362"")"),0)</f>
        <v>0</v>
      </c>
      <c r="J467" s="190">
        <f ca="1">IFERROR(__xludf.DUMMYFUNCTION("IMPORTRANGE(""https://docs.google.com/spreadsheets/d/1SX6NBoVAgQJ6U1MVXOaj8PK2l7WJ3RER9xtqwdhxkhw/edit?usp=sharing"",""ชลบุรี!J362"")"),53723)</f>
        <v>53723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IFERROR(__xludf.DUMMYFUNCTION("IMPORTRANGE(""https://docs.google.com/spreadsheets/d/1SX6NBoVAgQJ6U1MVXOaj8PK2l7WJ3RER9xtqwdhxkhw/edit?usp=sharing"",""ชลบุรี!I363"")"),0)</f>
        <v>0</v>
      </c>
      <c r="J468" s="190">
        <f ca="1">IFERROR(__xludf.DUMMYFUNCTION("IMPORTRANGE(""https://docs.google.com/spreadsheets/d/1SX6NBoVAgQJ6U1MVXOaj8PK2l7WJ3RER9xtqwdhxkhw/edit?usp=sharing"",""ชลบุรี!J363"")"),4151)</f>
        <v>4151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IFERROR(__xludf.DUMMYFUNCTION("IMPORTRANGE(""https://docs.google.com/spreadsheets/d/1SX6NBoVAgQJ6U1MVXOaj8PK2l7WJ3RER9xtqwdhxkhw/edit?usp=sharing"",""ชลบุรี!I364"")"),0)</f>
        <v>0</v>
      </c>
      <c r="J469" s="190">
        <f ca="1">IFERROR(__xludf.DUMMYFUNCTION("IMPORTRANGE(""https://docs.google.com/spreadsheets/d/1SX6NBoVAgQJ6U1MVXOaj8PK2l7WJ3RER9xtqwdhxkhw/edit?usp=sharing"",""ชลบุรี!J364"")"),6502)</f>
        <v>6502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IFERROR(__xludf.DUMMYFUNCTION("IMPORTRANGE(""https://docs.google.com/spreadsheets/d/1SX6NBoVAgQJ6U1MVXOaj8PK2l7WJ3RER9xtqwdhxkhw/edit?usp=sharing"",""ชลบุรี!I365"")"),0)</f>
        <v>0</v>
      </c>
      <c r="J470" s="190">
        <f ca="1">IFERROR(__xludf.DUMMYFUNCTION("IMPORTRANGE(""https://docs.google.com/spreadsheets/d/1SX6NBoVAgQJ6U1MVXOaj8PK2l7WJ3RER9xtqwdhxkhw/edit?usp=sharing"",""ชลบุรี!J365"")"),425)</f>
        <v>425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IFERROR(__xludf.DUMMYFUNCTION("IMPORTRANGE(""https://docs.google.com/spreadsheets/d/1SX6NBoVAgQJ6U1MVXOaj8PK2l7WJ3RER9xtqwdhxkhw/edit?usp=sharing"",""ชลบุรี!I366"")"),0)</f>
        <v>0</v>
      </c>
      <c r="J471" s="190">
        <f ca="1">IFERROR(__xludf.DUMMYFUNCTION("IMPORTRANGE(""https://docs.google.com/spreadsheets/d/1SX6NBoVAgQJ6U1MVXOaj8PK2l7WJ3RER9xtqwdhxkhw/edit?usp=sharing"",""ชลบุรี!J366"")"),578)</f>
        <v>578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IFERROR(__xludf.DUMMYFUNCTION("IMPORTRANGE(""https://docs.google.com/spreadsheets/d/1SX6NBoVAgQJ6U1MVXOaj8PK2l7WJ3RER9xtqwdhxkhw/edit?usp=sharing"",""ชลบุรี!I367"")"),0)</f>
        <v>0</v>
      </c>
      <c r="J472" s="190">
        <f ca="1">IFERROR(__xludf.DUMMYFUNCTION("IMPORTRANGE(""https://docs.google.com/spreadsheets/d/1SX6NBoVAgQJ6U1MVXOaj8PK2l7WJ3RER9xtqwdhxkhw/edit?usp=sharing"",""ชลบุรี!J367"")"),51)</f>
        <v>51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IFERROR(__xludf.DUMMYFUNCTION("IMPORTRANGE(""https://docs.google.com/spreadsheets/d/1SX6NBoVAgQJ6U1MVXOaj8PK2l7WJ3RER9xtqwdhxkhw/edit?usp=sharing"",""ชลบุรี!I370"")"),0)</f>
        <v>0</v>
      </c>
      <c r="J475" s="190">
        <f ca="1">IFERROR(__xludf.DUMMYFUNCTION("IMPORTRANGE(""https://docs.google.com/spreadsheets/d/1SX6NBoVAgQJ6U1MVXOaj8PK2l7WJ3RER9xtqwdhxkhw/edit?usp=sharing"",""ชลบุรี!J370"")"),0)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IFERROR(__xludf.DUMMYFUNCTION("IMPORTRANGE(""https://docs.google.com/spreadsheets/d/1SX6NBoVAgQJ6U1MVXOaj8PK2l7WJ3RER9xtqwdhxkhw/edit?usp=sharing"",""ชลบุรี!I371"")"),0)</f>
        <v>0</v>
      </c>
      <c r="J476" s="190">
        <f ca="1">IFERROR(__xludf.DUMMYFUNCTION("IMPORTRANGE(""https://docs.google.com/spreadsheets/d/1SX6NBoVAgQJ6U1MVXOaj8PK2l7WJ3RER9xtqwdhxkhw/edit?usp=sharing"",""ชลบุรี!J371"")"),0)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IFERROR(__xludf.DUMMYFUNCTION("IMPORTRANGE(""https://docs.google.com/spreadsheets/d/1SX6NBoVAgQJ6U1MVXOaj8PK2l7WJ3RER9xtqwdhxkhw/edit?usp=sharing"",""ชลบุรี!I372"")"),0)</f>
        <v>0</v>
      </c>
      <c r="J477" s="190">
        <f ca="1">IFERROR(__xludf.DUMMYFUNCTION("IMPORTRANGE(""https://docs.google.com/spreadsheets/d/1SX6NBoVAgQJ6U1MVXOaj8PK2l7WJ3RER9xtqwdhxkhw/edit?usp=sharing"",""ชลบุรี!J372"")"),0)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IFERROR(__xludf.DUMMYFUNCTION("IMPORTRANGE(""https://docs.google.com/spreadsheets/d/1SX6NBoVAgQJ6U1MVXOaj8PK2l7WJ3RER9xtqwdhxkhw/edit?usp=sharing"",""ชลบุรี!I373"")"),0)</f>
        <v>0</v>
      </c>
      <c r="J478" s="190">
        <f ca="1">IFERROR(__xludf.DUMMYFUNCTION("IMPORTRANGE(""https://docs.google.com/spreadsheets/d/1SX6NBoVAgQJ6U1MVXOaj8PK2l7WJ3RER9xtqwdhxkhw/edit?usp=sharing"",""ชลบุรี!J373"")"),0)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IFERROR(__xludf.DUMMYFUNCTION("IMPORTRANGE(""https://docs.google.com/spreadsheets/d/1SX6NBoVAgQJ6U1MVXOaj8PK2l7WJ3RER9xtqwdhxkhw/edit?usp=sharing"",""ชลบุรี!I374"")"),0)</f>
        <v>0</v>
      </c>
      <c r="J479" s="190">
        <f ca="1">IFERROR(__xludf.DUMMYFUNCTION("IMPORTRANGE(""https://docs.google.com/spreadsheets/d/1SX6NBoVAgQJ6U1MVXOaj8PK2l7WJ3RER9xtqwdhxkhw/edit?usp=sharing"",""ชลบุรี!J374"")"),0)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IFERROR(__xludf.DUMMYFUNCTION("IMPORTRANGE(""https://docs.google.com/spreadsheets/d/1SX6NBoVAgQJ6U1MVXOaj8PK2l7WJ3RER9xtqwdhxkhw/edit?usp=sharing"",""ชลบุรี!I375"")"),0)</f>
        <v>0</v>
      </c>
      <c r="J480" s="190">
        <f ca="1">IFERROR(__xludf.DUMMYFUNCTION("IMPORTRANGE(""https://docs.google.com/spreadsheets/d/1SX6NBoVAgQJ6U1MVXOaj8PK2l7WJ3RER9xtqwdhxkhw/edit?usp=sharing"",""ชลบุรี!J375"")"),0)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IFERROR(__xludf.DUMMYFUNCTION("IMPORTRANGE(""https://docs.google.com/spreadsheets/d/1SX6NBoVAgQJ6U1MVXOaj8PK2l7WJ3RER9xtqwdhxkhw/edit?usp=sharing"",""ชลบุรี!I378"")"),0)</f>
        <v>0</v>
      </c>
      <c r="J483" s="190">
        <f ca="1">IFERROR(__xludf.DUMMYFUNCTION("IMPORTRANGE(""https://docs.google.com/spreadsheets/d/1SX6NBoVAgQJ6U1MVXOaj8PK2l7WJ3RER9xtqwdhxkhw/edit?usp=sharing"",""ชลบุรี!J378"")"),0)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IFERROR(__xludf.DUMMYFUNCTION("IMPORTRANGE(""https://docs.google.com/spreadsheets/d/1SX6NBoVAgQJ6U1MVXOaj8PK2l7WJ3RER9xtqwdhxkhw/edit?usp=sharing"",""ชลบุรี!I379"")"),0)</f>
        <v>0</v>
      </c>
      <c r="J484" s="190">
        <f ca="1">IFERROR(__xludf.DUMMYFUNCTION("IMPORTRANGE(""https://docs.google.com/spreadsheets/d/1SX6NBoVAgQJ6U1MVXOaj8PK2l7WJ3RER9xtqwdhxkhw/edit?usp=sharing"",""ชลบุรี!J379"")"),0)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IFERROR(__xludf.DUMMYFUNCTION("IMPORTRANGE(""https://docs.google.com/spreadsheets/d/1SX6NBoVAgQJ6U1MVXOaj8PK2l7WJ3RER9xtqwdhxkhw/edit?usp=sharing"",""ชลบุรี!I380"")"),0)</f>
        <v>0</v>
      </c>
      <c r="J485" s="190">
        <f ca="1">IFERROR(__xludf.DUMMYFUNCTION("IMPORTRANGE(""https://docs.google.com/spreadsheets/d/1SX6NBoVAgQJ6U1MVXOaj8PK2l7WJ3RER9xtqwdhxkhw/edit?usp=sharing"",""ชลบุรี!J380"")"),0)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IFERROR(__xludf.DUMMYFUNCTION("IMPORTRANGE(""https://docs.google.com/spreadsheets/d/1SX6NBoVAgQJ6U1MVXOaj8PK2l7WJ3RER9xtqwdhxkhw/edit?usp=sharing"",""ชลบุรี!I381"")"),0)</f>
        <v>0</v>
      </c>
      <c r="J486" s="190">
        <f ca="1">IFERROR(__xludf.DUMMYFUNCTION("IMPORTRANGE(""https://docs.google.com/spreadsheets/d/1SX6NBoVAgQJ6U1MVXOaj8PK2l7WJ3RER9xtqwdhxkhw/edit?usp=sharing"",""ชลบุรี!J381"")"),0)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IFERROR(__xludf.DUMMYFUNCTION("IMPORTRANGE(""https://docs.google.com/spreadsheets/d/1SX6NBoVAgQJ6U1MVXOaj8PK2l7WJ3RER9xtqwdhxkhw/edit?usp=sharing"",""ชลบุรี!I384"")"),0)</f>
        <v>0</v>
      </c>
      <c r="J489" s="190">
        <f ca="1">IFERROR(__xludf.DUMMYFUNCTION("IMPORTRANGE(""https://docs.google.com/spreadsheets/d/1SX6NBoVAgQJ6U1MVXOaj8PK2l7WJ3RER9xtqwdhxkhw/edit?usp=sharing"",""ชลบุรี!J384"")"),0)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IFERROR(__xludf.DUMMYFUNCTION("IMPORTRANGE(""https://docs.google.com/spreadsheets/d/1SX6NBoVAgQJ6U1MVXOaj8PK2l7WJ3RER9xtqwdhxkhw/edit?usp=sharing"",""ชลบุรี!I385"")"),0)</f>
        <v>0</v>
      </c>
      <c r="J490" s="190">
        <f ca="1">IFERROR(__xludf.DUMMYFUNCTION("IMPORTRANGE(""https://docs.google.com/spreadsheets/d/1SX6NBoVAgQJ6U1MVXOaj8PK2l7WJ3RER9xtqwdhxkhw/edit?usp=sharing"",""ชลบุรี!J385"")"),0)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IFERROR(__xludf.DUMMYFUNCTION("IMPORTRANGE(""https://docs.google.com/spreadsheets/d/1SX6NBoVAgQJ6U1MVXOaj8PK2l7WJ3RER9xtqwdhxkhw/edit?usp=sharing"",""ชลบุรี!I386"")"),0)</f>
        <v>0</v>
      </c>
      <c r="J491" s="190">
        <f ca="1">IFERROR(__xludf.DUMMYFUNCTION("IMPORTRANGE(""https://docs.google.com/spreadsheets/d/1SX6NBoVAgQJ6U1MVXOaj8PK2l7WJ3RER9xtqwdhxkhw/edit?usp=sharing"",""ชลบุรี!J386"")"),0)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IFERROR(__xludf.DUMMYFUNCTION("IMPORTRANGE(""https://docs.google.com/spreadsheets/d/1SX6NBoVAgQJ6U1MVXOaj8PK2l7WJ3RER9xtqwdhxkhw/edit?usp=sharing"",""ชลบุรี!I387"")"),0)</f>
        <v>0</v>
      </c>
      <c r="J492" s="190">
        <f ca="1">IFERROR(__xludf.DUMMYFUNCTION("IMPORTRANGE(""https://docs.google.com/spreadsheets/d/1SX6NBoVAgQJ6U1MVXOaj8PK2l7WJ3RER9xtqwdhxkhw/edit?usp=sharing"",""ชลบุรี!J387"")"),0)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IFERROR(__xludf.DUMMYFUNCTION("IMPORTRANGE(""https://docs.google.com/spreadsheets/d/1SX6NBoVAgQJ6U1MVXOaj8PK2l7WJ3RER9xtqwdhxkhw/edit?usp=sharing"",""ชลบุรี!I388"")"),0)</f>
        <v>0</v>
      </c>
      <c r="J493" s="190">
        <f ca="1">IFERROR(__xludf.DUMMYFUNCTION("IMPORTRANGE(""https://docs.google.com/spreadsheets/d/1SX6NBoVAgQJ6U1MVXOaj8PK2l7WJ3RER9xtqwdhxkhw/edit?usp=sharing"",""ชลบุรี!J388"")"),0)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IFERROR(__xludf.DUMMYFUNCTION("IMPORTRANGE(""https://docs.google.com/spreadsheets/d/1SX6NBoVAgQJ6U1MVXOaj8PK2l7WJ3RER9xtqwdhxkhw/edit?usp=sharing"",""ชลบุรี!I395"")"),0)</f>
        <v>0</v>
      </c>
      <c r="J500" s="164">
        <f ca="1">IFERROR(__xludf.DUMMYFUNCTION("IMPORTRANGE(""https://docs.google.com/spreadsheets/d/1SX6NBoVAgQJ6U1MVXOaj8PK2l7WJ3RER9xtqwdhxkhw/edit?usp=sharing"",""ชลบุรี!J395"")"),0)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IFERROR(__xludf.DUMMYFUNCTION("IMPORTRANGE(""https://docs.google.com/spreadsheets/d/1SX6NBoVAgQJ6U1MVXOaj8PK2l7WJ3RER9xtqwdhxkhw/edit?usp=sharing"",""ชลบุรี!I396"")"),0)</f>
        <v>0</v>
      </c>
      <c r="J501" s="164">
        <f ca="1">IFERROR(__xludf.DUMMYFUNCTION("IMPORTRANGE(""https://docs.google.com/spreadsheets/d/1SX6NBoVAgQJ6U1MVXOaj8PK2l7WJ3RER9xtqwdhxkhw/edit?usp=sharing"",""ชลบุรี!J396"")"),0)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IFERROR(__xludf.DUMMYFUNCTION("IMPORTRANGE(""https://docs.google.com/spreadsheets/d/1SX6NBoVAgQJ6U1MVXOaj8PK2l7WJ3RER9xtqwdhxkhw/edit?usp=sharing"",""ชลบุรี!I397"")"),0)</f>
        <v>0</v>
      </c>
      <c r="J502" s="190">
        <f ca="1">IFERROR(__xludf.DUMMYFUNCTION("IMPORTRANGE(""https://docs.google.com/spreadsheets/d/1SX6NBoVAgQJ6U1MVXOaj8PK2l7WJ3RER9xtqwdhxkhw/edit?usp=sharing"",""ชลบุรี!J397"")"),0)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IFERROR(__xludf.DUMMYFUNCTION("IMPORTRANGE(""https://docs.google.com/spreadsheets/d/1SX6NBoVAgQJ6U1MVXOaj8PK2l7WJ3RER9xtqwdhxkhw/edit?usp=sharing"",""ชลบุรี!I398"")"),0)</f>
        <v>0</v>
      </c>
      <c r="J503" s="199">
        <f ca="1">IFERROR(__xludf.DUMMYFUNCTION("IMPORTRANGE(""https://docs.google.com/spreadsheets/d/1SX6NBoVAgQJ6U1MVXOaj8PK2l7WJ3RER9xtqwdhxkhw/edit?usp=sharing"",""ชลบุรี!J398"")"),0)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IFERROR(__xludf.DUMMYFUNCTION("IMPORTRANGE(""https://docs.google.com/spreadsheets/d/1SX6NBoVAgQJ6U1MVXOaj8PK2l7WJ3RER9xtqwdhxkhw/edit?usp=sharing"",""ชลบุรี!I399"")"),0)</f>
        <v>0</v>
      </c>
      <c r="J504" s="190">
        <f ca="1">IFERROR(__xludf.DUMMYFUNCTION("IMPORTRANGE(""https://docs.google.com/spreadsheets/d/1SX6NBoVAgQJ6U1MVXOaj8PK2l7WJ3RER9xtqwdhxkhw/edit?usp=sharing"",""ชลบุรี!J399"")"),0)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IFERROR(__xludf.DUMMYFUNCTION("IMPORTRANGE(""https://docs.google.com/spreadsheets/d/1SX6NBoVAgQJ6U1MVXOaj8PK2l7WJ3RER9xtqwdhxkhw/edit?usp=sharing"",""ชลบุรี!I400"")"),0)</f>
        <v>0</v>
      </c>
      <c r="J505" s="199">
        <f ca="1">IFERROR(__xludf.DUMMYFUNCTION("IMPORTRANGE(""https://docs.google.com/spreadsheets/d/1SX6NBoVAgQJ6U1MVXOaj8PK2l7WJ3RER9xtqwdhxkhw/edit?usp=sharing"",""ชลบุรี!J400"")"),0)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IFERROR(__xludf.DUMMYFUNCTION("IMPORTRANGE(""https://docs.google.com/spreadsheets/d/1SX6NBoVAgQJ6U1MVXOaj8PK2l7WJ3RER9xtqwdhxkhw/edit?usp=sharing"",""ชลบุรี!I401"")"),0)</f>
        <v>0</v>
      </c>
      <c r="J506" s="190">
        <f ca="1">IFERROR(__xludf.DUMMYFUNCTION("IMPORTRANGE(""https://docs.google.com/spreadsheets/d/1SX6NBoVAgQJ6U1MVXOaj8PK2l7WJ3RER9xtqwdhxkhw/edit?usp=sharing"",""ชลบุรี!J401"")"),0)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IFERROR(__xludf.DUMMYFUNCTION("IMPORTRANGE(""https://docs.google.com/spreadsheets/d/1SX6NBoVAgQJ6U1MVXOaj8PK2l7WJ3RER9xtqwdhxkhw/edit?usp=sharing"",""ชลบุรี!I402"")"),0)</f>
        <v>0</v>
      </c>
      <c r="J507" s="199">
        <f ca="1">IFERROR(__xludf.DUMMYFUNCTION("IMPORTRANGE(""https://docs.google.com/spreadsheets/d/1SX6NBoVAgQJ6U1MVXOaj8PK2l7WJ3RER9xtqwdhxkhw/edit?usp=sharing"",""ชลบุรี!J402"")"),0)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IFERROR(__xludf.DUMMYFUNCTION("IMPORTRANGE(""https://docs.google.com/spreadsheets/d/1SX6NBoVAgQJ6U1MVXOaj8PK2l7WJ3RER9xtqwdhxkhw/edit?usp=sharing"",""ชลบุรี!I403"")"),0)</f>
        <v>0</v>
      </c>
      <c r="J508" s="164">
        <f ca="1">IFERROR(__xludf.DUMMYFUNCTION("IMPORTRANGE(""https://docs.google.com/spreadsheets/d/1SX6NBoVAgQJ6U1MVXOaj8PK2l7WJ3RER9xtqwdhxkhw/edit?usp=sharing"",""ชลบุรี!J403"")"),0)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IFERROR(__xludf.DUMMYFUNCTION("IMPORTRANGE(""https://docs.google.com/spreadsheets/d/1SX6NBoVAgQJ6U1MVXOaj8PK2l7WJ3RER9xtqwdhxkhw/edit?usp=sharing"",""ชลบุรี!I404"")"),0)</f>
        <v>0</v>
      </c>
      <c r="J509" s="164">
        <f ca="1">IFERROR(__xludf.DUMMYFUNCTION("IMPORTRANGE(""https://docs.google.com/spreadsheets/d/1SX6NBoVAgQJ6U1MVXOaj8PK2l7WJ3RER9xtqwdhxkhw/edit?usp=sharing"",""ชลบุรี!J404"")"),0)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IFERROR(__xludf.DUMMYFUNCTION("IMPORTRANGE(""https://docs.google.com/spreadsheets/d/1SX6NBoVAgQJ6U1MVXOaj8PK2l7WJ3RER9xtqwdhxkhw/edit?usp=sharing"",""ชลบุรี!I405"")"),0)</f>
        <v>0</v>
      </c>
      <c r="J510" s="199">
        <f ca="1">IFERROR(__xludf.DUMMYFUNCTION("IMPORTRANGE(""https://docs.google.com/spreadsheets/d/1SX6NBoVAgQJ6U1MVXOaj8PK2l7WJ3RER9xtqwdhxkhw/edit?usp=sharing"",""ชลบุรี!J405"")"),0)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IFERROR(__xludf.DUMMYFUNCTION("IMPORTRANGE(""https://docs.google.com/spreadsheets/d/1SX6NBoVAgQJ6U1MVXOaj8PK2l7WJ3RER9xtqwdhxkhw/edit?usp=sharing"",""ชลบุรี!I406"")"),0)</f>
        <v>0</v>
      </c>
      <c r="J511" s="199">
        <f ca="1">IFERROR(__xludf.DUMMYFUNCTION("IMPORTRANGE(""https://docs.google.com/spreadsheets/d/1SX6NBoVAgQJ6U1MVXOaj8PK2l7WJ3RER9xtqwdhxkhw/edit?usp=sharing"",""ชลบุรี!J406"")"),0)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IFERROR(__xludf.DUMMYFUNCTION("IMPORTRANGE(""https://docs.google.com/spreadsheets/d/1SX6NBoVAgQJ6U1MVXOaj8PK2l7WJ3RER9xtqwdhxkhw/edit?usp=sharing"",""ชลบุรี!I407"")"),0)</f>
        <v>0</v>
      </c>
      <c r="J512" s="199">
        <f ca="1">IFERROR(__xludf.DUMMYFUNCTION("IMPORTRANGE(""https://docs.google.com/spreadsheets/d/1SX6NBoVAgQJ6U1MVXOaj8PK2l7WJ3RER9xtqwdhxkhw/edit?usp=sharing"",""ชลบุรี!J407"")"),0)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IFERROR(__xludf.DUMMYFUNCTION("IMPORTRANGE(""https://docs.google.com/spreadsheets/d/1SX6NBoVAgQJ6U1MVXOaj8PK2l7WJ3RER9xtqwdhxkhw/edit?usp=sharing"",""ชลบุรี!I408"")"),0)</f>
        <v>0</v>
      </c>
      <c r="J513" s="199">
        <f ca="1">IFERROR(__xludf.DUMMYFUNCTION("IMPORTRANGE(""https://docs.google.com/spreadsheets/d/1SX6NBoVAgQJ6U1MVXOaj8PK2l7WJ3RER9xtqwdhxkhw/edit?usp=sharing"",""ชลบุรี!J408"")"),0)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IFERROR(__xludf.DUMMYFUNCTION("IMPORTRANGE(""https://docs.google.com/spreadsheets/d/1SX6NBoVAgQJ6U1MVXOaj8PK2l7WJ3RER9xtqwdhxkhw/edit?usp=sharing"",""ชลบุรี!I409"")"),0)</f>
        <v>0</v>
      </c>
      <c r="J514" s="199">
        <f ca="1">IFERROR(__xludf.DUMMYFUNCTION("IMPORTRANGE(""https://docs.google.com/spreadsheets/d/1SX6NBoVAgQJ6U1MVXOaj8PK2l7WJ3RER9xtqwdhxkhw/edit?usp=sharing"",""ชลบุรี!J409"")"),0)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IFERROR(__xludf.DUMMYFUNCTION("IMPORTRANGE(""https://docs.google.com/spreadsheets/d/1SX6NBoVAgQJ6U1MVXOaj8PK2l7WJ3RER9xtqwdhxkhw/edit?usp=sharing"",""ชลบุรี!I410"")"),0)</f>
        <v>0</v>
      </c>
      <c r="J515" s="199">
        <f ca="1">IFERROR(__xludf.DUMMYFUNCTION("IMPORTRANGE(""https://docs.google.com/spreadsheets/d/1SX6NBoVAgQJ6U1MVXOaj8PK2l7WJ3RER9xtqwdhxkhw/edit?usp=sharing"",""ชลบุรี!J410"")"),0)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IFERROR(__xludf.DUMMYFUNCTION("IMPORTRANGE(""https://docs.google.com/spreadsheets/d/1SX6NBoVAgQJ6U1MVXOaj8PK2l7WJ3RER9xtqwdhxkhw/edit?usp=sharing"",""ชลบุรี!I412"")"),0)</f>
        <v>0</v>
      </c>
      <c r="J517" s="284">
        <f ca="1">IFERROR(__xludf.DUMMYFUNCTION("IMPORTRANGE(""https://docs.google.com/spreadsheets/d/1SX6NBoVAgQJ6U1MVXOaj8PK2l7WJ3RER9xtqwdhxkhw/edit?usp=sharing"",""ชลบุรี!J412"")"),0)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IFERROR(__xludf.DUMMYFUNCTION("IMPORTRANGE(""https://docs.google.com/spreadsheets/d/1SX6NBoVAgQJ6U1MVXOaj8PK2l7WJ3RER9xtqwdhxkhw/edit?usp=sharing"",""ชลบุรี!I413"")"),0)</f>
        <v>0</v>
      </c>
      <c r="J518" s="284">
        <f ca="1">IFERROR(__xludf.DUMMYFUNCTION("IMPORTRANGE(""https://docs.google.com/spreadsheets/d/1SX6NBoVAgQJ6U1MVXOaj8PK2l7WJ3RER9xtqwdhxkhw/edit?usp=sharing"",""ชลบุรี!J413"")"),0)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IFERROR(__xludf.DUMMYFUNCTION("IMPORTRANGE(""https://docs.google.com/spreadsheets/d/1SX6NBoVAgQJ6U1MVXOaj8PK2l7WJ3RER9xtqwdhxkhw/edit?usp=sharing"",""ชลบุรี!I414"")"),0)</f>
        <v>0</v>
      </c>
      <c r="J519" s="189">
        <f ca="1">IFERROR(__xludf.DUMMYFUNCTION("IMPORTRANGE(""https://docs.google.com/spreadsheets/d/1SX6NBoVAgQJ6U1MVXOaj8PK2l7WJ3RER9xtqwdhxkhw/edit?usp=sharing"",""ชลบุรี!J414"")"),0)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IFERROR(__xludf.DUMMYFUNCTION("IMPORTRANGE(""https://docs.google.com/spreadsheets/d/1SX6NBoVAgQJ6U1MVXOaj8PK2l7WJ3RER9xtqwdhxkhw/edit?usp=sharing"",""ชลบุรี!I415"")"),0)</f>
        <v>0</v>
      </c>
      <c r="J520" s="189">
        <f ca="1">IFERROR(__xludf.DUMMYFUNCTION("IMPORTRANGE(""https://docs.google.com/spreadsheets/d/1SX6NBoVAgQJ6U1MVXOaj8PK2l7WJ3RER9xtqwdhxkhw/edit?usp=sharing"",""ชลบุรี!J415"")"),0)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IFERROR(__xludf.DUMMYFUNCTION("IMPORTRANGE(""https://docs.google.com/spreadsheets/d/1SX6NBoVAgQJ6U1MVXOaj8PK2l7WJ3RER9xtqwdhxkhw/edit?usp=sharing"",""ชลบุรี!I416"")"),0)</f>
        <v>0</v>
      </c>
      <c r="J521" s="189">
        <f ca="1">IFERROR(__xludf.DUMMYFUNCTION("IMPORTRANGE(""https://docs.google.com/spreadsheets/d/1SX6NBoVAgQJ6U1MVXOaj8PK2l7WJ3RER9xtqwdhxkhw/edit?usp=sharing"",""ชลบุรี!J416"")"),0)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IFERROR(__xludf.DUMMYFUNCTION("IMPORTRANGE(""https://docs.google.com/spreadsheets/d/1SX6NBoVAgQJ6U1MVXOaj8PK2l7WJ3RER9xtqwdhxkhw/edit?usp=sharing"",""ชลบุรี!I417"")"),0)</f>
        <v>0</v>
      </c>
      <c r="J522" s="189">
        <f ca="1">IFERROR(__xludf.DUMMYFUNCTION("IMPORTRANGE(""https://docs.google.com/spreadsheets/d/1SX6NBoVAgQJ6U1MVXOaj8PK2l7WJ3RER9xtqwdhxkhw/edit?usp=sharing"",""ชลบุรี!J417"")"),0)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IFERROR(__xludf.DUMMYFUNCTION("IMPORTRANGE(""https://docs.google.com/spreadsheets/d/1SX6NBoVAgQJ6U1MVXOaj8PK2l7WJ3RER9xtqwdhxkhw/edit?usp=sharing"",""ชลบุรี!I418"")"),0)</f>
        <v>0</v>
      </c>
      <c r="J523" s="189">
        <f ca="1">IFERROR(__xludf.DUMMYFUNCTION("IMPORTRANGE(""https://docs.google.com/spreadsheets/d/1SX6NBoVAgQJ6U1MVXOaj8PK2l7WJ3RER9xtqwdhxkhw/edit?usp=sharing"",""ชลบุรี!J418"")"),4494)</f>
        <v>4494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IFERROR(__xludf.DUMMYFUNCTION("IMPORTRANGE(""https://docs.google.com/spreadsheets/d/1SX6NBoVAgQJ6U1MVXOaj8PK2l7WJ3RER9xtqwdhxkhw/edit?usp=sharing"",""ชลบุรี!I419"")"),0)</f>
        <v>0</v>
      </c>
      <c r="J524" s="189">
        <f ca="1">IFERROR(__xludf.DUMMYFUNCTION("IMPORTRANGE(""https://docs.google.com/spreadsheets/d/1SX6NBoVAgQJ6U1MVXOaj8PK2l7WJ3RER9xtqwdhxkhw/edit?usp=sharing"",""ชลบุรี!J419"")"),115)</f>
        <v>115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IFERROR(__xludf.DUMMYFUNCTION("IMPORTRANGE(""https://docs.google.com/spreadsheets/d/1SX6NBoVAgQJ6U1MVXOaj8PK2l7WJ3RER9xtqwdhxkhw/edit?usp=sharing"",""ชลบุรี!I420"")"),4494)</f>
        <v>4494</v>
      </c>
      <c r="J525" s="284">
        <f ca="1">IFERROR(__xludf.DUMMYFUNCTION("IMPORTRANGE(""https://docs.google.com/spreadsheets/d/1SX6NBoVAgQJ6U1MVXOaj8PK2l7WJ3RER9xtqwdhxkhw/edit?usp=sharing"",""ชลบุรี!J420"")"),0)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IFERROR(__xludf.DUMMYFUNCTION("IMPORTRANGE(""https://docs.google.com/spreadsheets/d/1SX6NBoVAgQJ6U1MVXOaj8PK2l7WJ3RER9xtqwdhxkhw/edit?usp=sharing"",""ชลบุรี!I421"")"),115)</f>
        <v>115</v>
      </c>
      <c r="J526" s="284">
        <f ca="1">IFERROR(__xludf.DUMMYFUNCTION("IMPORTRANGE(""https://docs.google.com/spreadsheets/d/1SX6NBoVAgQJ6U1MVXOaj8PK2l7WJ3RER9xtqwdhxkhw/edit?usp=sharing"",""ชลบุรี!J421"")"),0)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IFERROR(__xludf.DUMMYFUNCTION("IMPORTRANGE(""https://docs.google.com/spreadsheets/d/1SX6NBoVAgQJ6U1MVXOaj8PK2l7WJ3RER9xtqwdhxkhw/edit?usp=sharing"",""ชลบุรี!I422"")"),0)</f>
        <v>0</v>
      </c>
      <c r="J527" s="199">
        <f ca="1">IFERROR(__xludf.DUMMYFUNCTION("IMPORTRANGE(""https://docs.google.com/spreadsheets/d/1SX6NBoVAgQJ6U1MVXOaj8PK2l7WJ3RER9xtqwdhxkhw/edit?usp=sharing"",""ชลบุรี!J422"")"),0)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IFERROR(__xludf.DUMMYFUNCTION("IMPORTRANGE(""https://docs.google.com/spreadsheets/d/1SX6NBoVAgQJ6U1MVXOaj8PK2l7WJ3RER9xtqwdhxkhw/edit?usp=sharing"",""ชลบุรี!I423"")"),0)</f>
        <v>0</v>
      </c>
      <c r="J528" s="199">
        <f ca="1">IFERROR(__xludf.DUMMYFUNCTION("IMPORTRANGE(""https://docs.google.com/spreadsheets/d/1SX6NBoVAgQJ6U1MVXOaj8PK2l7WJ3RER9xtqwdhxkhw/edit?usp=sharing"",""ชลบุรี!J423"")"),0)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IFERROR(__xludf.DUMMYFUNCTION("IMPORTRANGE(""https://docs.google.com/spreadsheets/d/1SX6NBoVAgQJ6U1MVXOaj8PK2l7WJ3RER9xtqwdhxkhw/edit?usp=sharing"",""ชลบุรี!I424"")"),0)</f>
        <v>0</v>
      </c>
      <c r="J529" s="199">
        <f ca="1">IFERROR(__xludf.DUMMYFUNCTION("IMPORTRANGE(""https://docs.google.com/spreadsheets/d/1SX6NBoVAgQJ6U1MVXOaj8PK2l7WJ3RER9xtqwdhxkhw/edit?usp=sharing"",""ชลบุรี!J424"")"),0)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IFERROR(__xludf.DUMMYFUNCTION("IMPORTRANGE(""https://docs.google.com/spreadsheets/d/1SX6NBoVAgQJ6U1MVXOaj8PK2l7WJ3RER9xtqwdhxkhw/edit?usp=sharing"",""ชลบุรี!I425"")"),0)</f>
        <v>0</v>
      </c>
      <c r="J530" s="199">
        <f ca="1">IFERROR(__xludf.DUMMYFUNCTION("IMPORTRANGE(""https://docs.google.com/spreadsheets/d/1SX6NBoVAgQJ6U1MVXOaj8PK2l7WJ3RER9xtqwdhxkhw/edit?usp=sharing"",""ชลบุรี!J425"")"),0)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IFERROR(__xludf.DUMMYFUNCTION("IMPORTRANGE(""https://docs.google.com/spreadsheets/d/1SX6NBoVAgQJ6U1MVXOaj8PK2l7WJ3RER9xtqwdhxkhw/edit?usp=sharing"",""ชลบุรี!I426"")"),0)</f>
        <v>0</v>
      </c>
      <c r="J531" s="199">
        <f ca="1">IFERROR(__xludf.DUMMYFUNCTION("IMPORTRANGE(""https://docs.google.com/spreadsheets/d/1SX6NBoVAgQJ6U1MVXOaj8PK2l7WJ3RER9xtqwdhxkhw/edit?usp=sharing"",""ชลบุรี!J426"")"),0)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IFERROR(__xludf.DUMMYFUNCTION("IMPORTRANGE(""https://docs.google.com/spreadsheets/d/1SX6NBoVAgQJ6U1MVXOaj8PK2l7WJ3RER9xtqwdhxkhw/edit?usp=sharing"",""ชลบุรี!M428"")"),300)</f>
        <v>300</v>
      </c>
      <c r="O533" s="412">
        <f t="shared" ref="O533:O537" ca="1" si="118">+IF(L533&gt;0,N533*100/L533,0)</f>
        <v>0.91911764705882348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IFERROR(__xludf.DUMMYFUNCTION("IMPORTRANGE(""https://docs.google.com/spreadsheets/d/1SX6NBoVAgQJ6U1MVXOaj8PK2l7WJ3RER9xtqwdhxkhw/edit?usp=sharing"",""ชลบุรี!L429"")"),0)</f>
        <v>0</v>
      </c>
      <c r="M534" s="166"/>
      <c r="N534" s="170">
        <f ca="1">IFERROR(__xludf.DUMMYFUNCTION("IMPORTRANGE(""https://docs.google.com/spreadsheets/d/1SX6NBoVAgQJ6U1MVXOaj8PK2l7WJ3RER9xtqwdhxkhw/edit?usp=sharing"",""ชลบุรี!M429"")"),0)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IFERROR(__xludf.DUMMYFUNCTION("IMPORTRANGE(""https://docs.google.com/spreadsheets/d/1SX6NBoVAgQJ6U1MVXOaj8PK2l7WJ3RER9xtqwdhxkhw/edit?usp=sharing"",""ชลบุรี!L430"")"),32640)</f>
        <v>32640</v>
      </c>
      <c r="M535" s="167"/>
      <c r="N535" s="170">
        <f ca="1">IFERROR(__xludf.DUMMYFUNCTION("IMPORTRANGE(""https://docs.google.com/spreadsheets/d/1SX6NBoVAgQJ6U1MVXOaj8PK2l7WJ3RER9xtqwdhxkhw/edit?usp=sharing"",""ชลบุรี!M430"")"),300)</f>
        <v>300</v>
      </c>
      <c r="O535" s="170">
        <f t="shared" ca="1" si="118"/>
        <v>0.91911764705882348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IFERROR(__xludf.DUMMYFUNCTION("IMPORTRANGE(""https://docs.google.com/spreadsheets/d/1SX6NBoVAgQJ6U1MVXOaj8PK2l7WJ3RER9xtqwdhxkhw/edit?usp=sharing"",""ชลบุรี!L431"")"),0)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IFERROR(__xludf.DUMMYFUNCTION("IMPORTRANGE(""https://docs.google.com/spreadsheets/d/1SX6NBoVAgQJ6U1MVXOaj8PK2l7WJ3RER9xtqwdhxkhw/edit?usp=sharing"",""ชลบุรี!M431"")"),0)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IFERROR(__xludf.DUMMYFUNCTION("IMPORTRANGE(""https://docs.google.com/spreadsheets/d/1SX6NBoVAgQJ6U1MVXOaj8PK2l7WJ3RER9xtqwdhxkhw/edit?usp=sharing"",""ชลบุรี!L432"")"),32640)</f>
        <v>32640</v>
      </c>
      <c r="M537" s="170"/>
      <c r="N537" s="170">
        <f ca="1">IFERROR(__xludf.DUMMYFUNCTION("IMPORTRANGE(""https://docs.google.com/spreadsheets/d/1SX6NBoVAgQJ6U1MVXOaj8PK2l7WJ3RER9xtqwdhxkhw/edit?usp=sharing"",""ชลบุรี!M432"")"),300)</f>
        <v>300</v>
      </c>
      <c r="O537" s="170">
        <f t="shared" ca="1" si="118"/>
        <v>0.91911764705882348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IFERROR(__xludf.DUMMYFUNCTION("IMPORTRANGE(""https://docs.google.com/spreadsheets/d/1SX6NBoVAgQJ6U1MVXOaj8PK2l7WJ3RER9xtqwdhxkhw/edit?usp=sharing"",""ชลบุรี!M433"")"),0)</f>
        <v>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IFERROR(__xludf.DUMMYFUNCTION("IMPORTRANGE(""https://docs.google.com/spreadsheets/d/1SX6NBoVAgQJ6U1MVXOaj8PK2l7WJ3RER9xtqwdhxkhw/edit?usp=sharing"",""ชลบุรี!M436"")"),300)</f>
        <v>300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IFERROR(__xludf.DUMMYFUNCTION("IMPORTRANGE(""https://docs.google.com/spreadsheets/d/1SX6NBoVAgQJ6U1MVXOaj8PK2l7WJ3RER9xtqwdhxkhw/edit?usp=sharing"",""ชลบุรี!J438"")"),0)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IFERROR(__xludf.DUMMYFUNCTION("IMPORTRANGE(""https://docs.google.com/spreadsheets/d/1SX6NBoVAgQJ6U1MVXOaj8PK2l7WJ3RER9xtqwdhxkhw/edit?usp=sharing"",""ชลบุรี!J439"")"),1)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IFERROR(__xludf.DUMMYFUNCTION("IMPORTRANGE(""https://docs.google.com/spreadsheets/d/1SX6NBoVAgQJ6U1MVXOaj8PK2l7WJ3RER9xtqwdhxkhw/edit?usp=sharing"",""ชลบุรี!J440"")"),1)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IFERROR(__xludf.DUMMYFUNCTION("IMPORTRANGE(""https://docs.google.com/spreadsheets/d/1SX6NBoVAgQJ6U1MVXOaj8PK2l7WJ3RER9xtqwdhxkhw/edit?usp=sharing"",""ชลบุรี!J441"")"),1)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IFERROR(__xludf.DUMMYFUNCTION("IMPORTRANGE(""https://docs.google.com/spreadsheets/d/1SX6NBoVAgQJ6U1MVXOaj8PK2l7WJ3RER9xtqwdhxkhw/edit?usp=sharing"",""ชลบุรี!I442"")"),20)</f>
        <v>20</v>
      </c>
      <c r="J547" s="190">
        <f ca="1">IFERROR(__xludf.DUMMYFUNCTION("IMPORTRANGE(""https://docs.google.com/spreadsheets/d/1SX6NBoVAgQJ6U1MVXOaj8PK2l7WJ3RER9xtqwdhxkhw/edit?usp=sharing"",""ชลบุรี!J442"")"),0)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IFERROR(__xludf.DUMMYFUNCTION("IMPORTRANGE(""https://docs.google.com/spreadsheets/d/1SX6NBoVAgQJ6U1MVXOaj8PK2l7WJ3RER9xtqwdhxkhw/edit?usp=sharing"",""ชลบุรี!J166"")"),0)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IFERROR(__xludf.DUMMYFUNCTION("IMPORTRANGE(""https://docs.google.com/spreadsheets/d/1SX6NBoVAgQJ6U1MVXOaj8PK2l7WJ3RER9xtqwdhxkhw/edit?usp=sharing"",""ชลบุรี!J444"")"),0)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IFERROR(__xludf.DUMMYFUNCTION("IMPORTRANGE(""https://docs.google.com/spreadsheets/d/1SX6NBoVAgQJ6U1MVXOaj8PK2l7WJ3RER9xtqwdhxkhw/edit?usp=sharing"",""ชลบุรี!L447"")"),0)</f>
        <v>0</v>
      </c>
      <c r="M552" s="166"/>
      <c r="N552" s="170">
        <f ca="1">IFERROR(__xludf.DUMMYFUNCTION("IMPORTRANGE(""https://docs.google.com/spreadsheets/d/1SX6NBoVAgQJ6U1MVXOaj8PK2l7WJ3RER9xtqwdhxkhw/edit?usp=sharing"",""ชลบุรี!M447"")"),0)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IFERROR(__xludf.DUMMYFUNCTION("IMPORTRANGE(""https://docs.google.com/spreadsheets/d/1SX6NBoVAgQJ6U1MVXOaj8PK2l7WJ3RER9xtqwdhxkhw/edit?usp=sharing"",""ชลบุรี!L448"")"),0)</f>
        <v>0</v>
      </c>
      <c r="M553" s="167"/>
      <c r="N553" s="170">
        <f ca="1">IFERROR(__xludf.DUMMYFUNCTION("IMPORTRANGE(""https://docs.google.com/spreadsheets/d/1SX6NBoVAgQJ6U1MVXOaj8PK2l7WJ3RER9xtqwdhxkhw/edit?usp=sharing"",""ชลบุรี!M448"")"),0)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IFERROR(__xludf.DUMMYFUNCTION("IMPORTRANGE(""https://docs.google.com/spreadsheets/d/1SX6NBoVAgQJ6U1MVXOaj8PK2l7WJ3RER9xtqwdhxkhw/edit?usp=sharing"",""ชลบุรี!L449"")"),0)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IFERROR(__xludf.DUMMYFUNCTION("IMPORTRANGE(""https://docs.google.com/spreadsheets/d/1SX6NBoVAgQJ6U1MVXOaj8PK2l7WJ3RER9xtqwdhxkhw/edit?usp=sharing"",""ชลบุรี!M449"")"),0)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IFERROR(__xludf.DUMMYFUNCTION("IMPORTRANGE(""https://docs.google.com/spreadsheets/d/1SX6NBoVAgQJ6U1MVXOaj8PK2l7WJ3RER9xtqwdhxkhw/edit?usp=sharing"",""ชลบุรี!L450"")"),0)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IFERROR(__xludf.DUMMYFUNCTION("IMPORTRANGE(""https://docs.google.com/spreadsheets/d/1SX6NBoVAgQJ6U1MVXOaj8PK2l7WJ3RER9xtqwdhxkhw/edit?usp=sharing"",""ชลบุรี!M450"")"),0)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IFERROR(__xludf.DUMMYFUNCTION("IMPORTRANGE(""https://docs.google.com/spreadsheets/d/1SX6NBoVAgQJ6U1MVXOaj8PK2l7WJ3RER9xtqwdhxkhw/edit?usp=sharing"",""ชลบุรี!M451"")"),0)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IFERROR(__xludf.DUMMYFUNCTION("IMPORTRANGE(""https://docs.google.com/spreadsheets/d/1SX6NBoVAgQJ6U1MVXOaj8PK2l7WJ3RER9xtqwdhxkhw/edit?usp=sharing"",""ชลบุรี!M452"")"),0)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IFERROR(__xludf.DUMMYFUNCTION("IMPORTRANGE(""https://docs.google.com/spreadsheets/d/1SX6NBoVAgQJ6U1MVXOaj8PK2l7WJ3RER9xtqwdhxkhw/edit?usp=sharing"",""ชลบุรี!M453"")"),0)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IFERROR(__xludf.DUMMYFUNCTION("IMPORTRANGE(""https://docs.google.com/spreadsheets/d/1SX6NBoVAgQJ6U1MVXOaj8PK2l7WJ3RER9xtqwdhxkhw/edit?usp=sharing"",""ชลบุรี!M454"")"),0)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IFERROR(__xludf.DUMMYFUNCTION("IMPORTRANGE(""https://docs.google.com/spreadsheets/d/1SX6NBoVAgQJ6U1MVXOaj8PK2l7WJ3RER9xtqwdhxkhw/edit?usp=sharing"",""ชลบุรี!I455"")"),0)</f>
        <v>0</v>
      </c>
      <c r="J560" s="164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IFERROR(__xludf.DUMMYFUNCTION("IMPORTRANGE(""https://docs.google.com/spreadsheets/d/1SX6NBoVAgQJ6U1MVXOaj8PK2l7WJ3RER9xtqwdhxkhw/edit?usp=sharing"",""ชลบุรี!I456"")"),0)</f>
        <v>0</v>
      </c>
      <c r="J561" s="205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IFERROR(__xludf.DUMMYFUNCTION("IMPORTRANGE(""https://docs.google.com/spreadsheets/d/1SX6NBoVAgQJ6U1MVXOaj8PK2l7WJ3RER9xtqwdhxkhw/edit?usp=sharing"",""ชลบุรี!I457"")"),0)</f>
        <v>0</v>
      </c>
      <c r="J562" s="205" t="str">
        <f ca="1">IFERROR(__xludf.DUMMYFUNCTION("IMPORTRANGE(""https://docs.google.com/spreadsheets/d/1SX6NBoVAgQJ6U1MVXOaj8PK2l7WJ3RER9xtqwdhxkhw/edit?usp=sharing"",""ชลบุรี!J457"")"),"")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IFERROR(__xludf.DUMMYFUNCTION("IMPORTRANGE(""https://docs.google.com/spreadsheets/d/1SX6NBoVAgQJ6U1MVXOaj8PK2l7WJ3RER9xtqwdhxkhw/edit?usp=sharing"",""ชลบุรี!I458"")"),0)</f>
        <v>0</v>
      </c>
      <c r="J563" s="189" t="str">
        <f ca="1">IFERROR(__xludf.DUMMYFUNCTION("IMPORTRANGE(""https://docs.google.com/spreadsheets/d/1SX6NBoVAgQJ6U1MVXOaj8PK2l7WJ3RER9xtqwdhxkhw/edit?usp=sharing"",""ชลบุรี!J458"")"),"")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IFERROR(__xludf.DUMMYFUNCTION("IMPORTRANGE(""https://docs.google.com/spreadsheets/d/1SX6NBoVAgQJ6U1MVXOaj8PK2l7WJ3RER9xtqwdhxkhw/edit?usp=sharing"",""ชลบุรี!J459"")"),0)</f>
        <v>0</v>
      </c>
      <c r="K564" s="372">
        <f t="shared" ca="1" si="121"/>
        <v>0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IFERROR(__xludf.DUMMYFUNCTION("IMPORTRANGE(""https://docs.google.com/spreadsheets/d/1SX6NBoVAgQJ6U1MVXOaj8PK2l7WJ3RER9xtqwdhxkhw/edit?usp=sharing"",""ชลบุรี!M459"")"),13761.85)</f>
        <v>13761.85</v>
      </c>
      <c r="O564" s="373">
        <f t="shared" ref="O564:O568" ca="1" si="122">+IF(L564&gt;0,N564*100/L564,0)</f>
        <v>11.362161492734478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IFERROR(__xludf.DUMMYFUNCTION("IMPORTRANGE(""https://docs.google.com/spreadsheets/d/1SX6NBoVAgQJ6U1MVXOaj8PK2l7WJ3RER9xtqwdhxkhw/edit?usp=sharing"",""ชลบุรี!L460"")"),0)</f>
        <v>0</v>
      </c>
      <c r="M565" s="166"/>
      <c r="N565" s="170">
        <f ca="1">IFERROR(__xludf.DUMMYFUNCTION("IMPORTRANGE(""https://docs.google.com/spreadsheets/d/1SX6NBoVAgQJ6U1MVXOaj8PK2l7WJ3RER9xtqwdhxkhw/edit?usp=sharing"",""ชลบุรี!M460"")"),0)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IFERROR(__xludf.DUMMYFUNCTION("IMPORTRANGE(""https://docs.google.com/spreadsheets/d/1SX6NBoVAgQJ6U1MVXOaj8PK2l7WJ3RER9xtqwdhxkhw/edit?usp=sharing"",""ชลบุรี!L461"")"),121120)</f>
        <v>121120</v>
      </c>
      <c r="M566" s="167"/>
      <c r="N566" s="170">
        <f ca="1">IFERROR(__xludf.DUMMYFUNCTION("IMPORTRANGE(""https://docs.google.com/spreadsheets/d/1SX6NBoVAgQJ6U1MVXOaj8PK2l7WJ3RER9xtqwdhxkhw/edit?usp=sharing"",""ชลบุรี!M461"")"),13761.85)</f>
        <v>13761.85</v>
      </c>
      <c r="O566" s="170">
        <f t="shared" ca="1" si="122"/>
        <v>11.362161492734478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IFERROR(__xludf.DUMMYFUNCTION("IMPORTRANGE(""https://docs.google.com/spreadsheets/d/1SX6NBoVAgQJ6U1MVXOaj8PK2l7WJ3RER9xtqwdhxkhw/edit?usp=sharing"",""ชลบุรี!L462"")"),0)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IFERROR(__xludf.DUMMYFUNCTION("IMPORTRANGE(""https://docs.google.com/spreadsheets/d/1SX6NBoVAgQJ6U1MVXOaj8PK2l7WJ3RER9xtqwdhxkhw/edit?usp=sharing"",""ชลบุรี!M462"")"),0)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IFERROR(__xludf.DUMMYFUNCTION("IMPORTRANGE(""https://docs.google.com/spreadsheets/d/1SX6NBoVAgQJ6U1MVXOaj8PK2l7WJ3RER9xtqwdhxkhw/edit?usp=sharing"",""ชลบุรี!L463"")"),121120)</f>
        <v>121120</v>
      </c>
      <c r="M568" s="170"/>
      <c r="N568" s="170">
        <f ca="1">IFERROR(__xludf.DUMMYFUNCTION("IMPORTRANGE(""https://docs.google.com/spreadsheets/d/1SX6NBoVAgQJ6U1MVXOaj8PK2l7WJ3RER9xtqwdhxkhw/edit?usp=sharing"",""ชลบุรี!M463"")"),13761.85)</f>
        <v>13761.85</v>
      </c>
      <c r="O568" s="170">
        <f t="shared" ca="1" si="122"/>
        <v>11.362161492734478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IFERROR(__xludf.DUMMYFUNCTION("IMPORTRANGE(""https://docs.google.com/spreadsheets/d/1SX6NBoVAgQJ6U1MVXOaj8PK2l7WJ3RER9xtqwdhxkhw/edit?usp=sharing"",""ชลบุรี!M464"")"),0)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IFERROR(__xludf.DUMMYFUNCTION("IMPORTRANGE(""https://docs.google.com/spreadsheets/d/1SX6NBoVAgQJ6U1MVXOaj8PK2l7WJ3RER9xtqwdhxkhw/edit?usp=sharing"",""ชลบุรี!M465"")"),0)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IFERROR(__xludf.DUMMYFUNCTION("IMPORTRANGE(""https://docs.google.com/spreadsheets/d/1SX6NBoVAgQJ6U1MVXOaj8PK2l7WJ3RER9xtqwdhxkhw/edit?usp=sharing"",""ชลบุรี!M466"")"),0)</f>
        <v>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IFERROR(__xludf.DUMMYFUNCTION("IMPORTRANGE(""https://docs.google.com/spreadsheets/d/1SX6NBoVAgQJ6U1MVXOaj8PK2l7WJ3RER9xtqwdhxkhw/edit?usp=sharing"",""ชลบุรี!M467"")"),13761.85)</f>
        <v>13761.85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IFERROR(__xludf.DUMMYFUNCTION("IMPORTRANGE(""https://docs.google.com/spreadsheets/d/1SX6NBoVAgQJ6U1MVXOaj8PK2l7WJ3RER9xtqwdhxkhw/edit?usp=sharing"",""ชลบุรี!J468"")"),0)</f>
        <v>0</v>
      </c>
      <c r="K573" s="203">
        <f ca="1">IF(I573&gt;0,J573*100/I573,0)</f>
        <v>0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IFERROR(__xludf.DUMMYFUNCTION("IMPORTRANGE(""https://docs.google.com/spreadsheets/d/1SX6NBoVAgQJ6U1MVXOaj8PK2l7WJ3RER9xtqwdhxkhw/edit?usp=sharing"",""ชลบุรี!I470"")"),0)</f>
        <v>0</v>
      </c>
      <c r="J575" s="199">
        <f ca="1">IFERROR(__xludf.DUMMYFUNCTION("IMPORTRANGE(""https://docs.google.com/spreadsheets/d/1SX6NBoVAgQJ6U1MVXOaj8PK2l7WJ3RER9xtqwdhxkhw/edit?usp=sharing"",""ชลบุรี!J470"")"),0)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IFERROR(__xludf.DUMMYFUNCTION("IMPORTRANGE(""https://docs.google.com/spreadsheets/d/1SX6NBoVAgQJ6U1MVXOaj8PK2l7WJ3RER9xtqwdhxkhw/edit?usp=sharing"",""ชลบุรี!I471"")"),0)</f>
        <v>0</v>
      </c>
      <c r="J576" s="199">
        <f ca="1">IFERROR(__xludf.DUMMYFUNCTION("IMPORTRANGE(""https://docs.google.com/spreadsheets/d/1SX6NBoVAgQJ6U1MVXOaj8PK2l7WJ3RER9xtqwdhxkhw/edit?usp=sharing"",""ชลบุรี!J471"")"),0)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IFERROR(__xludf.DUMMYFUNCTION("IMPORTRANGE(""https://docs.google.com/spreadsheets/d/1SX6NBoVAgQJ6U1MVXOaj8PK2l7WJ3RER9xtqwdhxkhw/edit?usp=sharing"",""ชลบุรี!I472"")"),0)</f>
        <v>0</v>
      </c>
      <c r="J577" s="190">
        <f ca="1">IFERROR(__xludf.DUMMYFUNCTION("IMPORTRANGE(""https://docs.google.com/spreadsheets/d/1SX6NBoVAgQJ6U1MVXOaj8PK2l7WJ3RER9xtqwdhxkhw/edit?usp=sharing"",""ชลบุรี!J472"")"),0)</f>
        <v>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IFERROR(__xludf.DUMMYFUNCTION("IMPORTRANGE(""https://docs.google.com/spreadsheets/d/1SX6NBoVAgQJ6U1MVXOaj8PK2l7WJ3RER9xtqwdhxkhw/edit?usp=sharing"",""ชลบุรี!I473"")"),0)</f>
        <v>0</v>
      </c>
      <c r="J578" s="199">
        <f ca="1">IFERROR(__xludf.DUMMYFUNCTION("IMPORTRANGE(""https://docs.google.com/spreadsheets/d/1SX6NBoVAgQJ6U1MVXOaj8PK2l7WJ3RER9xtqwdhxkhw/edit?usp=sharing"",""ชลบุรี!J473"")"),0)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IFERROR(__xludf.DUMMYFUNCTION("IMPORTRANGE(""https://docs.google.com/spreadsheets/d/1SX6NBoVAgQJ6U1MVXOaj8PK2l7WJ3RER9xtqwdhxkhw/edit?usp=sharing"",""ชลบุรี!I474"")"),0)</f>
        <v>0</v>
      </c>
      <c r="J579" s="199">
        <f ca="1">IFERROR(__xludf.DUMMYFUNCTION("IMPORTRANGE(""https://docs.google.com/spreadsheets/d/1SX6NBoVAgQJ6U1MVXOaj8PK2l7WJ3RER9xtqwdhxkhw/edit?usp=sharing"",""ชลบุรี!J474"")"),0)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IFERROR(__xludf.DUMMYFUNCTION("IMPORTRANGE(""https://docs.google.com/spreadsheets/d/1SX6NBoVAgQJ6U1MVXOaj8PK2l7WJ3RER9xtqwdhxkhw/edit?usp=sharing"",""ชลบุรี!L476"")"),0)</f>
        <v>0</v>
      </c>
      <c r="M581" s="166"/>
      <c r="N581" s="170">
        <f ca="1">IFERROR(__xludf.DUMMYFUNCTION("IMPORTRANGE(""https://docs.google.com/spreadsheets/d/1SX6NBoVAgQJ6U1MVXOaj8PK2l7WJ3RER9xtqwdhxkhw/edit?usp=sharing"",""ชลบุรี!M476"")"),0)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IFERROR(__xludf.DUMMYFUNCTION("IMPORTRANGE(""https://docs.google.com/spreadsheets/d/1SX6NBoVAgQJ6U1MVXOaj8PK2l7WJ3RER9xtqwdhxkhw/edit?usp=sharing"",""ชลบุรี!L477"")"),0)</f>
        <v>0</v>
      </c>
      <c r="M582" s="167"/>
      <c r="N582" s="170">
        <f ca="1">IFERROR(__xludf.DUMMYFUNCTION("IMPORTRANGE(""https://docs.google.com/spreadsheets/d/1SX6NBoVAgQJ6U1MVXOaj8PK2l7WJ3RER9xtqwdhxkhw/edit?usp=sharing"",""ชลบุรี!M477"")"),0)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IFERROR(__xludf.DUMMYFUNCTION("IMPORTRANGE(""https://docs.google.com/spreadsheets/d/1SX6NBoVAgQJ6U1MVXOaj8PK2l7WJ3RER9xtqwdhxkhw/edit?usp=sharing"",""ชลบุรี!L478"")"),0)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IFERROR(__xludf.DUMMYFUNCTION("IMPORTRANGE(""https://docs.google.com/spreadsheets/d/1SX6NBoVAgQJ6U1MVXOaj8PK2l7WJ3RER9xtqwdhxkhw/edit?usp=sharing"",""ชลบุรี!M478"")"),0)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IFERROR(__xludf.DUMMYFUNCTION("IMPORTRANGE(""https://docs.google.com/spreadsheets/d/1SX6NBoVAgQJ6U1MVXOaj8PK2l7WJ3RER9xtqwdhxkhw/edit?usp=sharing"",""ชลบุรี!L479"")"),0)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IFERROR(__xludf.DUMMYFUNCTION("IMPORTRANGE(""https://docs.google.com/spreadsheets/d/1SX6NBoVAgQJ6U1MVXOaj8PK2l7WJ3RER9xtqwdhxkhw/edit?usp=sharing"",""ชลบุรี!M479"")"),0)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IFERROR(__xludf.DUMMYFUNCTION("IMPORTRANGE(""https://docs.google.com/spreadsheets/d/1SX6NBoVAgQJ6U1MVXOaj8PK2l7WJ3RER9xtqwdhxkhw/edit?usp=sharing"",""ชลบุรี!M480"")"),0)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IFERROR(__xludf.DUMMYFUNCTION("IMPORTRANGE(""https://docs.google.com/spreadsheets/d/1SX6NBoVAgQJ6U1MVXOaj8PK2l7WJ3RER9xtqwdhxkhw/edit?usp=sharing"",""ชลบุรี!M481"")"),0)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IFERROR(__xludf.DUMMYFUNCTION("IMPORTRANGE(""https://docs.google.com/spreadsheets/d/1SX6NBoVAgQJ6U1MVXOaj8PK2l7WJ3RER9xtqwdhxkhw/edit?usp=sharing"",""ชลบุรี!M482"")"),0)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IFERROR(__xludf.DUMMYFUNCTION("IMPORTRANGE(""https://docs.google.com/spreadsheets/d/1SX6NBoVAgQJ6U1MVXOaj8PK2l7WJ3RER9xtqwdhxkhw/edit?usp=sharing"",""ชลบุรี!M483"")"),0)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IFERROR(__xludf.DUMMYFUNCTION("IMPORTRANGE(""https://docs.google.com/spreadsheets/d/1SX6NBoVAgQJ6U1MVXOaj8PK2l7WJ3RER9xtqwdhxkhw/edit?usp=sharing"",""ชลบุรี!I484"")"),0)</f>
        <v>0</v>
      </c>
      <c r="J589" s="189">
        <f ca="1">IFERROR(__xludf.DUMMYFUNCTION("IMPORTRANGE(""https://docs.google.com/spreadsheets/d/1SX6NBoVAgQJ6U1MVXOaj8PK2l7WJ3RER9xtqwdhxkhw/edit?usp=sharing"",""ชลบุรี!J484"")"),0)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9">
        <f ca="1">IFERROR(__xludf.DUMMYFUNCTION("IMPORTRANGE(""https://docs.google.com/spreadsheets/d/1SX6NBoVAgQJ6U1MVXOaj8PK2l7WJ3RER9xtqwdhxkhw/edit?usp=sharing"",""ชลบุรี!J485"")"),0)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IFERROR(__xludf.DUMMYFUNCTION("IMPORTRANGE(""https://docs.google.com/spreadsheets/d/1SX6NBoVAgQJ6U1MVXOaj8PK2l7WJ3RER9xtqwdhxkhw/edit?usp=sharing"",""ชลบุรี!I486"")"),0)</f>
        <v>0</v>
      </c>
      <c r="J591" s="189">
        <f ca="1">IFERROR(__xludf.DUMMYFUNCTION("IMPORTRANGE(""https://docs.google.com/spreadsheets/d/1SX6NBoVAgQJ6U1MVXOaj8PK2l7WJ3RER9xtqwdhxkhw/edit?usp=sharing"",""ชลบุรี!J486"")"),0)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9">
        <f ca="1">IFERROR(__xludf.DUMMYFUNCTION("IMPORTRANGE(""https://docs.google.com/spreadsheets/d/1SX6NBoVAgQJ6U1MVXOaj8PK2l7WJ3RER9xtqwdhxkhw/edit?usp=sharing"",""ชลบุรี!J487"")"),0)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IFERROR(__xludf.DUMMYFUNCTION("IMPORTRANGE(""https://docs.google.com/spreadsheets/d/1SX6NBoVAgQJ6U1MVXOaj8PK2l7WJ3RER9xtqwdhxkhw/edit?usp=sharing"",""ชลบุรี!I488"")"),0)</f>
        <v>0</v>
      </c>
      <c r="J593" s="189">
        <f ca="1">IFERROR(__xludf.DUMMYFUNCTION("IMPORTRANGE(""https://docs.google.com/spreadsheets/d/1SX6NBoVAgQJ6U1MVXOaj8PK2l7WJ3RER9xtqwdhxkhw/edit?usp=sharing"",""ชลบุรี!J488"")"),0)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9">
        <f ca="1">IFERROR(__xludf.DUMMYFUNCTION("IMPORTRANGE(""https://docs.google.com/spreadsheets/d/1SX6NBoVAgQJ6U1MVXOaj8PK2l7WJ3RER9xtqwdhxkhw/edit?usp=sharing"",""ชลบุรี!J489"")"),0)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IFERROR(__xludf.DUMMYFUNCTION("IMPORTRANGE(""https://docs.google.com/spreadsheets/d/1SX6NBoVAgQJ6U1MVXOaj8PK2l7WJ3RER9xtqwdhxkhw/edit?usp=sharing"",""ชลบุรี!I490"")"),0)</f>
        <v>0</v>
      </c>
      <c r="J595" s="189">
        <f ca="1">IFERROR(__xludf.DUMMYFUNCTION("IMPORTRANGE(""https://docs.google.com/spreadsheets/d/1SX6NBoVAgQJ6U1MVXOaj8PK2l7WJ3RER9xtqwdhxkhw/edit?usp=sharing"",""ชลบุรี!J490"")"),0)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7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IFERROR(__xludf.DUMMYFUNCTION("IMPORTRANGE(""https://docs.google.com/spreadsheets/d/1SX6NBoVAgQJ6U1MVXOaj8PK2l7WJ3RER9xtqwdhxkhw/edit?usp=sharing"",""ชลบุรี!L493"")"),0)</f>
        <v>0</v>
      </c>
      <c r="M598" s="166"/>
      <c r="N598" s="170">
        <f ca="1">IFERROR(__xludf.DUMMYFUNCTION("IMPORTRANGE(""https://docs.google.com/spreadsheets/d/1SX6NBoVAgQJ6U1MVXOaj8PK2l7WJ3RER9xtqwdhxkhw/edit?usp=sharing"",""ชลบุรี!M493"")"),0)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IFERROR(__xludf.DUMMYFUNCTION("IMPORTRANGE(""https://docs.google.com/spreadsheets/d/1SX6NBoVAgQJ6U1MVXOaj8PK2l7WJ3RER9xtqwdhxkhw/edit?usp=sharing"",""ชลบุรี!L494"")"),4550)</f>
        <v>4550</v>
      </c>
      <c r="M599" s="167"/>
      <c r="N599" s="170">
        <f ca="1">IFERROR(__xludf.DUMMYFUNCTION("IMPORTRANGE(""https://docs.google.com/spreadsheets/d/1SX6NBoVAgQJ6U1MVXOaj8PK2l7WJ3RER9xtqwdhxkhw/edit?usp=sharing"",""ชลบุรี!M494"")"),300)</f>
        <v>300</v>
      </c>
      <c r="O599" s="170">
        <f t="shared" ca="1" si="126"/>
        <v>6.5934065934065931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IFERROR(__xludf.DUMMYFUNCTION("IMPORTRANGE(""https://docs.google.com/spreadsheets/d/1SX6NBoVAgQJ6U1MVXOaj8PK2l7WJ3RER9xtqwdhxkhw/edit?usp=sharing"",""ชลบุรี!L495"")"),0)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IFERROR(__xludf.DUMMYFUNCTION("IMPORTRANGE(""https://docs.google.com/spreadsheets/d/1SX6NBoVAgQJ6U1MVXOaj8PK2l7WJ3RER9xtqwdhxkhw/edit?usp=sharing"",""ชลบุรี!M495"")"),0)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IFERROR(__xludf.DUMMYFUNCTION("IMPORTRANGE(""https://docs.google.com/spreadsheets/d/1SX6NBoVAgQJ6U1MVXOaj8PK2l7WJ3RER9xtqwdhxkhw/edit?usp=sharing"",""ชลบุรี!L496"")"),4550)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IFERROR(__xludf.DUMMYFUNCTION("IMPORTRANGE(""https://docs.google.com/spreadsheets/d/1SX6NBoVAgQJ6U1MVXOaj8PK2l7WJ3RER9xtqwdhxkhw/edit?usp=sharing"",""ชลบุรี!M496"")"),300)</f>
        <v>300</v>
      </c>
      <c r="O601" s="170">
        <f t="shared" ca="1" si="126"/>
        <v>6.5934065934065931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IFERROR(__xludf.DUMMYFUNCTION("IMPORTRANGE(""https://docs.google.com/spreadsheets/d/1SX6NBoVAgQJ6U1MVXOaj8PK2l7WJ3RER9xtqwdhxkhw/edit?usp=sharing"",""ชลบุรี!M497"")"),0)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IFERROR(__xludf.DUMMYFUNCTION("IMPORTRANGE(""https://docs.google.com/spreadsheets/d/1SX6NBoVAgQJ6U1MVXOaj8PK2l7WJ3RER9xtqwdhxkhw/edit?usp=sharing"",""ชลบุรี!M498"")"),0)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IFERROR(__xludf.DUMMYFUNCTION("IMPORTRANGE(""https://docs.google.com/spreadsheets/d/1SX6NBoVAgQJ6U1MVXOaj8PK2l7WJ3RER9xtqwdhxkhw/edit?usp=sharing"",""ชลบุรี!J502"")"),1)</f>
        <v>1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IFERROR(__xludf.DUMMYFUNCTION("IMPORTRANGE(""https://docs.google.com/spreadsheets/d/1SX6NBoVAgQJ6U1MVXOaj8PK2l7WJ3RER9xtqwdhxkhw/edit?usp=sharing"",""ชลบุรี!J503"")"),0)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IFERROR(__xludf.DUMMYFUNCTION("IMPORTRANGE(""https://docs.google.com/spreadsheets/d/1SX6NBoVAgQJ6U1MVXOaj8PK2l7WJ3RER9xtqwdhxkhw/edit?usp=sharing"",""ชลบุรี!I506"")"),50)</f>
        <v>50</v>
      </c>
      <c r="J611" s="164">
        <f ca="1">IFERROR(__xludf.DUMMYFUNCTION("IMPORTRANGE(""https://docs.google.com/spreadsheets/d/1SX6NBoVAgQJ6U1MVXOaj8PK2l7WJ3RER9xtqwdhxkhw/edit?usp=sharing"",""ชลบุรี!J506"")"),0)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IFERROR(__xludf.DUMMYFUNCTION("IMPORTRANGE(""https://docs.google.com/spreadsheets/d/1SX6NBoVAgQJ6U1MVXOaj8PK2l7WJ3RER9xtqwdhxkhw/edit?usp=sharing"",""ชลบุรี!I507"")"),0)</f>
        <v>0</v>
      </c>
      <c r="J612" s="199">
        <f ca="1">IFERROR(__xludf.DUMMYFUNCTION("IMPORTRANGE(""https://docs.google.com/spreadsheets/d/1SX6NBoVAgQJ6U1MVXOaj8PK2l7WJ3RER9xtqwdhxkhw/edit?usp=sharing"",""ชลบุรี!J507"")"),0)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IFERROR(__xludf.DUMMYFUNCTION("IMPORTRANGE(""https://docs.google.com/spreadsheets/d/1SX6NBoVAgQJ6U1MVXOaj8PK2l7WJ3RER9xtqwdhxkhw/edit?usp=sharing"",""ชลบุรี!I508"")"),0)</f>
        <v>0</v>
      </c>
      <c r="J613" s="199">
        <f ca="1">IFERROR(__xludf.DUMMYFUNCTION("IMPORTRANGE(""https://docs.google.com/spreadsheets/d/1SX6NBoVAgQJ6U1MVXOaj8PK2l7WJ3RER9xtqwdhxkhw/edit?usp=sharing"",""ชลบุรี!J508"")"),0)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IFERROR(__xludf.DUMMYFUNCTION("IMPORTRANGE(""https://docs.google.com/spreadsheets/d/1SX6NBoVAgQJ6U1MVXOaj8PK2l7WJ3RER9xtqwdhxkhw/edit?usp=sharing"",""ชลบุรี!I509"")"),0)</f>
        <v>0</v>
      </c>
      <c r="J614" s="199">
        <f ca="1">IFERROR(__xludf.DUMMYFUNCTION("IMPORTRANGE(""https://docs.google.com/spreadsheets/d/1SX6NBoVAgQJ6U1MVXOaj8PK2l7WJ3RER9xtqwdhxkhw/edit?usp=sharing"",""ชลบุรี!J509"")"),0)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IFERROR(__xludf.DUMMYFUNCTION("IMPORTRANGE(""https://docs.google.com/spreadsheets/d/1SX6NBoVAgQJ6U1MVXOaj8PK2l7WJ3RER9xtqwdhxkhw/edit?usp=sharing"",""ชลบุรี!I510"")"),0)</f>
        <v>0</v>
      </c>
      <c r="J615" s="199">
        <f ca="1">IFERROR(__xludf.DUMMYFUNCTION("IMPORTRANGE(""https://docs.google.com/spreadsheets/d/1SX6NBoVAgQJ6U1MVXOaj8PK2l7WJ3RER9xtqwdhxkhw/edit?usp=sharing"",""ชลบุรี!J510"")"),0)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IFERROR(__xludf.DUMMYFUNCTION("IMPORTRANGE(""https://docs.google.com/spreadsheets/d/1SX6NBoVAgQJ6U1MVXOaj8PK2l7WJ3RER9xtqwdhxkhw/edit?usp=sharing"",""ชลบุรี!I511"")"),0)</f>
        <v>0</v>
      </c>
      <c r="J616" s="199">
        <f ca="1">IFERROR(__xludf.DUMMYFUNCTION("IMPORTRANGE(""https://docs.google.com/spreadsheets/d/1SX6NBoVAgQJ6U1MVXOaj8PK2l7WJ3RER9xtqwdhxkhw/edit?usp=sharing"",""ชลบุรี!J511"")"),0)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IFERROR(__xludf.DUMMYFUNCTION("IMPORTRANGE(""https://docs.google.com/spreadsheets/d/1SX6NBoVAgQJ6U1MVXOaj8PK2l7WJ3RER9xtqwdhxkhw/edit?usp=sharing"",""ชลบุรี!I512"")"),0)</f>
        <v>0</v>
      </c>
      <c r="J617" s="189">
        <f ca="1">IFERROR(__xludf.DUMMYFUNCTION("IMPORTRANGE(""https://docs.google.com/spreadsheets/d/1SX6NBoVAgQJ6U1MVXOaj8PK2l7WJ3RER9xtqwdhxkhw/edit?usp=sharing"",""ชลบุรี!J512"")"),0)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IFERROR(__xludf.DUMMYFUNCTION("IMPORTRANGE(""https://docs.google.com/spreadsheets/d/1SX6NBoVAgQJ6U1MVXOaj8PK2l7WJ3RER9xtqwdhxkhw/edit?usp=sharing"",""ชลบุรี!I513"")"),0)</f>
        <v>0</v>
      </c>
      <c r="J618" s="190">
        <f ca="1">IFERROR(__xludf.DUMMYFUNCTION("IMPORTRANGE(""https://docs.google.com/spreadsheets/d/1SX6NBoVAgQJ6U1MVXOaj8PK2l7WJ3RER9xtqwdhxkhw/edit?usp=sharing"",""ชลบุรี!J513"")"),0)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IFERROR(__xludf.DUMMYFUNCTION("IMPORTRANGE(""https://docs.google.com/spreadsheets/d/1SX6NBoVAgQJ6U1MVXOaj8PK2l7WJ3RER9xtqwdhxkhw/edit?usp=sharing"",""ชลบุรี!I514"")"),0)</f>
        <v>0</v>
      </c>
      <c r="J619" s="190">
        <f ca="1">IFERROR(__xludf.DUMMYFUNCTION("IMPORTRANGE(""https://docs.google.com/spreadsheets/d/1SX6NBoVAgQJ6U1MVXOaj8PK2l7WJ3RER9xtqwdhxkhw/edit?usp=sharing"",""ชลบุรี!J514"")"),0)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IFERROR(__xludf.DUMMYFUNCTION("IMPORTRANGE(""https://docs.google.com/spreadsheets/d/1SX6NBoVAgQJ6U1MVXOaj8PK2l7WJ3RER9xtqwdhxkhw/edit?usp=sharing"",""ชลบุรี!I515"")"),0)</f>
        <v>0</v>
      </c>
      <c r="J620" s="204">
        <f ca="1">IFERROR(__xludf.DUMMYFUNCTION("IMPORTRANGE(""https://docs.google.com/spreadsheets/d/1SX6NBoVAgQJ6U1MVXOaj8PK2l7WJ3RER9xtqwdhxkhw/edit?usp=sharing"",""ชลบุรี!J515"")"),0)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IFERROR(__xludf.DUMMYFUNCTION("IMPORTRANGE(""https://docs.google.com/spreadsheets/d/1SX6NBoVAgQJ6U1MVXOaj8PK2l7WJ3RER9xtqwdhxkhw/edit?usp=sharing"",""ชลบุรี!I516"")"),0)</f>
        <v>0</v>
      </c>
      <c r="J621" s="204">
        <f ca="1">IFERROR(__xludf.DUMMYFUNCTION("IMPORTRANGE(""https://docs.google.com/spreadsheets/d/1SX6NBoVAgQJ6U1MVXOaj8PK2l7WJ3RER9xtqwdhxkhw/edit?usp=sharing"",""ชลบุรี!J516"")"),0)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IFERROR(__xludf.DUMMYFUNCTION("IMPORTRANGE(""https://docs.google.com/spreadsheets/d/1SX6NBoVAgQJ6U1MVXOaj8PK2l7WJ3RER9xtqwdhxkhw/edit?usp=sharing"",""ชลบุรี!I517"")"),0)</f>
        <v>0</v>
      </c>
      <c r="J622" s="190">
        <f ca="1">IFERROR(__xludf.DUMMYFUNCTION("IMPORTRANGE(""https://docs.google.com/spreadsheets/d/1SX6NBoVAgQJ6U1MVXOaj8PK2l7WJ3RER9xtqwdhxkhw/edit?usp=sharing"",""ชลบุรี!J517"")"),0)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IFERROR(__xludf.DUMMYFUNCTION("IMPORTRANGE(""https://docs.google.com/spreadsheets/d/1SX6NBoVAgQJ6U1MVXOaj8PK2l7WJ3RER9xtqwdhxkhw/edit?usp=sharing"",""ชลบุรี!I518"")"),0)</f>
        <v>0</v>
      </c>
      <c r="J623" s="190">
        <f ca="1">IFERROR(__xludf.DUMMYFUNCTION("IMPORTRANGE(""https://docs.google.com/spreadsheets/d/1SX6NBoVAgQJ6U1MVXOaj8PK2l7WJ3RER9xtqwdhxkhw/edit?usp=sharing"",""ชลบุรี!J518"")"),0)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IFERROR(__xludf.DUMMYFUNCTION("IMPORTRANGE(""https://docs.google.com/spreadsheets/d/1SX6NBoVAgQJ6U1MVXOaj8PK2l7WJ3RER9xtqwdhxkhw/edit?usp=sharing"",""ชลบุรี!I519"")"),0)</f>
        <v>0</v>
      </c>
      <c r="J624" s="189">
        <f ca="1">IFERROR(__xludf.DUMMYFUNCTION("IMPORTRANGE(""https://docs.google.com/spreadsheets/d/1SX6NBoVAgQJ6U1MVXOaj8PK2l7WJ3RER9xtqwdhxkhw/edit?usp=sharing"",""ชลบุรี!J519"")"),0)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IFERROR(__xludf.DUMMYFUNCTION("IMPORTRANGE(""https://docs.google.com/spreadsheets/d/1SX6NBoVAgQJ6U1MVXOaj8PK2l7WJ3RER9xtqwdhxkhw/edit?usp=sharing"",""ชลบุรี!I520"")"),0)</f>
        <v>0</v>
      </c>
      <c r="J625" s="190">
        <f ca="1">IFERROR(__xludf.DUMMYFUNCTION("IMPORTRANGE(""https://docs.google.com/spreadsheets/d/1SX6NBoVAgQJ6U1MVXOaj8PK2l7WJ3RER9xtqwdhxkhw/edit?usp=sharing"",""ชลบุรี!J520"")"),0)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IFERROR(__xludf.DUMMYFUNCTION("IMPORTRANGE(""https://docs.google.com/spreadsheets/d/1SX6NBoVAgQJ6U1MVXOaj8PK2l7WJ3RER9xtqwdhxkhw/edit?usp=sharing"",""ชลบุรี!I521"")"),0)</f>
        <v>0</v>
      </c>
      <c r="J626" s="190">
        <f ca="1">IFERROR(__xludf.DUMMYFUNCTION("IMPORTRANGE(""https://docs.google.com/spreadsheets/d/1SX6NBoVAgQJ6U1MVXOaj8PK2l7WJ3RER9xtqwdhxkhw/edit?usp=sharing"",""ชลบุรี!J521"")"),0)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1">
        <f ca="1">IFERROR(__xludf.DUMMYFUNCTION("IMPORTRANGE(""https://docs.google.com/spreadsheets/d/1SX6NBoVAgQJ6U1MVXOaj8PK2l7WJ3RER9xtqwdhxkhw/edit?usp=sharing"",""ชลบุรี!J523"")"),2159669.64)</f>
        <v>2159669.64</v>
      </c>
      <c r="K628" s="342">
        <f t="shared" ref="K628:K635" ca="1" si="129">IF(I628&gt;0,J628*100/I628,0)</f>
        <v>21.692861636577966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IFERROR(__xludf.DUMMYFUNCTION("IMPORTRANGE(""https://docs.google.com/spreadsheets/d/1SX6NBoVAgQJ6U1MVXOaj8PK2l7WJ3RER9xtqwdhxkhw/edit?usp=sharing"",""ชลบุรี!I524"")"),249)</f>
        <v>249</v>
      </c>
      <c r="J629" s="341">
        <f ca="1">IFERROR(__xludf.DUMMYFUNCTION("IMPORTRANGE(""https://docs.google.com/spreadsheets/d/1SX6NBoVAgQJ6U1MVXOaj8PK2l7WJ3RER9xtqwdhxkhw/edit?usp=sharing"",""ชลบุรี!J524"")"),50)</f>
        <v>50</v>
      </c>
      <c r="K629" s="342">
        <f t="shared" ca="1" si="129"/>
        <v>20.080321285140563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IFERROR(__xludf.DUMMYFUNCTION("IMPORTRANGE(""https://docs.google.com/spreadsheets/d/1SX6NBoVAgQJ6U1MVXOaj8PK2l7WJ3RER9xtqwdhxkhw/edit?usp=sharing"",""ชลบุรี!I525"")"),186084.82)</f>
        <v>186084.82</v>
      </c>
      <c r="J630" s="341">
        <f ca="1">IFERROR(__xludf.DUMMYFUNCTION("IMPORTRANGE(""https://docs.google.com/spreadsheets/d/1SX6NBoVAgQJ6U1MVXOaj8PK2l7WJ3RER9xtqwdhxkhw/edit?usp=sharing"",""ชลบุรี!J525"")"),138650.8)</f>
        <v>138650.79999999999</v>
      </c>
      <c r="K630" s="342">
        <f t="shared" ca="1" si="129"/>
        <v>74.5094629427591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IFERROR(__xludf.DUMMYFUNCTION("IMPORTRANGE(""https://docs.google.com/spreadsheets/d/1SX6NBoVAgQJ6U1MVXOaj8PK2l7WJ3RER9xtqwdhxkhw/edit?usp=sharing"",""ชลบุรี!I526"")"),7)</f>
        <v>7</v>
      </c>
      <c r="J631" s="341">
        <f ca="1">IFERROR(__xludf.DUMMYFUNCTION("IMPORTRANGE(""https://docs.google.com/spreadsheets/d/1SX6NBoVAgQJ6U1MVXOaj8PK2l7WJ3RER9xtqwdhxkhw/edit?usp=sharing"",""ชลบุรี!J526"")"),7)</f>
        <v>7</v>
      </c>
      <c r="K631" s="342">
        <f t="shared" ca="1" si="129"/>
        <v>100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IFERROR(__xludf.DUMMYFUNCTION("IMPORTRANGE(""https://docs.google.com/spreadsheets/d/1SX6NBoVAgQJ6U1MVXOaj8PK2l7WJ3RER9xtqwdhxkhw/edit?usp=sharing"",""ชลบุรี!I527"")"),0)</f>
        <v>0</v>
      </c>
      <c r="J632" s="341">
        <f ca="1">IFERROR(__xludf.DUMMYFUNCTION("IMPORTRANGE(""https://docs.google.com/spreadsheets/d/1SX6NBoVAgQJ6U1MVXOaj8PK2l7WJ3RER9xtqwdhxkhw/edit?usp=sharing"",""ชลบุรี!J527"")"),0)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IFERROR(__xludf.DUMMYFUNCTION("IMPORTRANGE(""https://docs.google.com/spreadsheets/d/1SX6NBoVAgQJ6U1MVXOaj8PK2l7WJ3RER9xtqwdhxkhw/edit?usp=sharing"",""ชลบุรี!I528"")"),0)</f>
        <v>0</v>
      </c>
      <c r="J633" s="341">
        <f ca="1">IFERROR(__xludf.DUMMYFUNCTION("IMPORTRANGE(""https://docs.google.com/spreadsheets/d/1SX6NBoVAgQJ6U1MVXOaj8PK2l7WJ3RER9xtqwdhxkhw/edit?usp=sharing"",""ชลบุรี!J528"")"),0)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IFERROR(__xludf.DUMMYFUNCTION("IMPORTRANGE(""https://docs.google.com/spreadsheets/d/1SX6NBoVAgQJ6U1MVXOaj8PK2l7WJ3RER9xtqwdhxkhw/edit?usp=sharing"",""ชลบุรี!I529"")"),5530000)</f>
        <v>5530000</v>
      </c>
      <c r="J634" s="341">
        <f ca="1">IFERROR(__xludf.DUMMYFUNCTION("IMPORTRANGE(""https://docs.google.com/spreadsheets/d/1SX6NBoVAgQJ6U1MVXOaj8PK2l7WJ3RER9xtqwdhxkhw/edit?usp=sharing"",""ชลบุรี!J529"")"),1560000)</f>
        <v>1560000</v>
      </c>
      <c r="K634" s="342">
        <f t="shared" ca="1" si="129"/>
        <v>28.209764918625677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IFERROR(__xludf.DUMMYFUNCTION("IMPORTRANGE(""https://docs.google.com/spreadsheets/d/1SX6NBoVAgQJ6U1MVXOaj8PK2l7WJ3RER9xtqwdhxkhw/edit?usp=sharing"",""ชลบุรี!I530"")"),115)</f>
        <v>115</v>
      </c>
      <c r="J635" s="504">
        <f ca="1">IFERROR(__xludf.DUMMYFUNCTION("IMPORTRANGE(""https://docs.google.com/spreadsheets/d/1SX6NBoVAgQJ6U1MVXOaj8PK2l7WJ3RER9xtqwdhxkhw/edit?usp=sharing"",""ชลบุรี!J530"")"),32)</f>
        <v>32</v>
      </c>
      <c r="K635" s="486">
        <f t="shared" ca="1" si="129"/>
        <v>27.826086956521738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20" activePane="bottomLeft" state="frozen"/>
      <selection activeCell="J4" sqref="J4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5.42578125" bestFit="1" customWidth="1"/>
    <col min="10" max="10" width="15.85546875" customWidth="1"/>
    <col min="11" max="11" width="11" bestFit="1" customWidth="1"/>
    <col min="12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246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3430699</v>
      </c>
      <c r="M8" s="23">
        <f t="shared" ca="1" si="0"/>
        <v>1450889</v>
      </c>
      <c r="N8" s="23">
        <f t="shared" ca="1" si="0"/>
        <v>1742234</v>
      </c>
      <c r="O8" s="22">
        <f t="shared" ref="O8:O16" ca="1" si="1">IF(L8&gt;0,N8*100/L8,0)</f>
        <v>50.783644965646943</v>
      </c>
      <c r="P8" s="22">
        <f t="shared" ref="P8:P16" ca="1" si="2">IF(M8&gt;0,N8*100/M8,0)</f>
        <v>120.08044722925048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3430699</v>
      </c>
      <c r="M10" s="30">
        <f t="shared" ca="1" si="4"/>
        <v>1450889</v>
      </c>
      <c r="N10" s="30">
        <f t="shared" ca="1" si="4"/>
        <v>1742234</v>
      </c>
      <c r="O10" s="29">
        <f t="shared" ca="1" si="1"/>
        <v>50.783644965646943</v>
      </c>
      <c r="P10" s="29">
        <f t="shared" ca="1" si="2"/>
        <v>120.08044722925048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3291699</v>
      </c>
      <c r="M12" s="38">
        <f t="shared" ca="1" si="6"/>
        <v>1311889</v>
      </c>
      <c r="N12" s="38">
        <f t="shared" ca="1" si="6"/>
        <v>1603234</v>
      </c>
      <c r="O12" s="38">
        <f t="shared" ca="1" si="1"/>
        <v>48.705364615658965</v>
      </c>
      <c r="P12" s="38">
        <f t="shared" ca="1" si="2"/>
        <v>122.20805266299207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1708899</v>
      </c>
      <c r="M14" s="38">
        <f t="shared" si="8"/>
        <v>0</v>
      </c>
      <c r="N14" s="38">
        <f t="shared" ca="1" si="8"/>
        <v>423475</v>
      </c>
      <c r="O14" s="38">
        <f t="shared" ca="1" si="1"/>
        <v>24.78057509542694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2597025</v>
      </c>
      <c r="M18" s="23">
        <f t="shared" ca="1" si="11"/>
        <v>1450889</v>
      </c>
      <c r="N18" s="23">
        <f t="shared" ca="1" si="11"/>
        <v>1318759</v>
      </c>
      <c r="O18" s="22">
        <f t="shared" ref="O18:O20" ca="1" si="12">IF(L18&gt;0,N18*100/L18,0)</f>
        <v>50.779603584871154</v>
      </c>
      <c r="P18" s="22">
        <f t="shared" ref="P18:P26" ca="1" si="13">IF(M18&gt;0,N18*100/M18,0)</f>
        <v>90.893169635995591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2597025</v>
      </c>
      <c r="M20" s="30">
        <f t="shared" ca="1" si="15"/>
        <v>1450889</v>
      </c>
      <c r="N20" s="30">
        <f t="shared" ca="1" si="15"/>
        <v>1318759</v>
      </c>
      <c r="O20" s="29">
        <f t="shared" ca="1" si="12"/>
        <v>50.779603584871154</v>
      </c>
      <c r="P20" s="29">
        <f t="shared" ca="1" si="13"/>
        <v>90.893169635995591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2458025</v>
      </c>
      <c r="M22" s="41">
        <f t="shared" ca="1" si="18"/>
        <v>1311889</v>
      </c>
      <c r="N22" s="38">
        <f t="shared" ca="1" si="18"/>
        <v>1179759</v>
      </c>
      <c r="O22" s="38">
        <f t="shared" ca="1" si="17"/>
        <v>47.99621647460868</v>
      </c>
      <c r="P22" s="38">
        <f t="shared" ca="1" si="13"/>
        <v>89.928263747923793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875225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833674</v>
      </c>
      <c r="M28" s="23">
        <f t="shared" si="23"/>
        <v>0</v>
      </c>
      <c r="N28" s="23">
        <f t="shared" ca="1" si="23"/>
        <v>423475</v>
      </c>
      <c r="O28" s="22">
        <f t="shared" ref="O28:O30" ca="1" si="24">IF(L28&gt;0,N28*100/L28,0)</f>
        <v>50.79623449933667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833674</v>
      </c>
      <c r="M30" s="30">
        <f t="shared" si="27"/>
        <v>0</v>
      </c>
      <c r="N30" s="30">
        <f t="shared" ca="1" si="27"/>
        <v>423475</v>
      </c>
      <c r="O30" s="29">
        <f t="shared" ca="1" si="24"/>
        <v>50.79623449933667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833674</v>
      </c>
      <c r="M32" s="38">
        <f t="shared" si="30"/>
        <v>0</v>
      </c>
      <c r="N32" s="38">
        <f t="shared" ca="1" si="30"/>
        <v>423475</v>
      </c>
      <c r="O32" s="38">
        <f t="shared" ca="1" si="29"/>
        <v>50.79623449933667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833674</v>
      </c>
      <c r="M34" s="38">
        <f t="shared" si="32"/>
        <v>0</v>
      </c>
      <c r="N34" s="38">
        <f t="shared" ca="1" si="32"/>
        <v>423475</v>
      </c>
      <c r="O34" s="38">
        <f t="shared" ca="1" si="29"/>
        <v>50.79623449933667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2597025</v>
      </c>
      <c r="M37" s="54">
        <f t="shared" ca="1" si="33"/>
        <v>1450889</v>
      </c>
      <c r="N37" s="54">
        <f t="shared" ca="1" si="33"/>
        <v>1318759</v>
      </c>
      <c r="O37" s="55">
        <f t="shared" ca="1" si="29"/>
        <v>50.779603584871154</v>
      </c>
      <c r="P37" s="55">
        <f t="shared" ca="1" si="25"/>
        <v>90.893169635995591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310100</v>
      </c>
      <c r="N41" s="78">
        <f t="shared" ca="1" si="34"/>
        <v>289601</v>
      </c>
      <c r="O41" s="77">
        <f t="shared" ref="O41:O43" ca="1" si="35">IF(L41&gt;0,N41*100/L41,0)</f>
        <v>46.70983870967742</v>
      </c>
      <c r="P41" s="77">
        <f t="shared" ref="P41:P43" ca="1" si="36">IF(M41&gt;0,N41*100/M41,0)</f>
        <v>93.389551757497586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310100</v>
      </c>
      <c r="N43" s="78">
        <f t="shared" ca="1" si="38"/>
        <v>289601</v>
      </c>
      <c r="O43" s="77">
        <f t="shared" ca="1" si="35"/>
        <v>46.70983870967742</v>
      </c>
      <c r="P43" s="77">
        <f t="shared" ca="1" si="36"/>
        <v>93.389551757497586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IFERROR(__xludf.DUMMYFUNCTION("IMPORTRANGE(""https://docs.google.com/spreadsheets/d/1Yj_ptqi66GCucihVvJfMjLAmec39IyEx_6qawtMGysU/edit?usp=sharing"",""สบก!Q63"")"),310100)</f>
        <v>310100</v>
      </c>
      <c r="N45" s="49">
        <f ca="1">IFERROR(__xludf.DUMMYFUNCTION("IMPORTRANGE(""https://docs.google.com/spreadsheets/d/1Yj_ptqi66GCucihVvJfMjLAmec39IyEx_6qawtMGysU/edit?usp=sharing"",""สบก!R63"")"),289601)</f>
        <v>289601</v>
      </c>
      <c r="O45" s="38">
        <f ca="1">IF(L45&gt;0,N45*100/L45,0)</f>
        <v>46.70983870967742</v>
      </c>
      <c r="P45" s="38">
        <f ca="1">IF(M45&gt;0,N45*100/M45,0)</f>
        <v>93.389551757497586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187144</v>
      </c>
      <c r="N53" s="121">
        <f t="shared" ca="1" si="39"/>
        <v>156556</v>
      </c>
      <c r="O53" s="120">
        <f t="shared" ref="O53:O55" ca="1" si="40">IF(L53&gt;0,N53*100/L53,0)</f>
        <v>44.075450450450454</v>
      </c>
      <c r="P53" s="120">
        <f t="shared" ref="P53:P55" ca="1" si="41">IF(M53&gt;0,N53*100/M53,0)</f>
        <v>83.655366990125245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187144</v>
      </c>
      <c r="N55" s="121">
        <f t="shared" ca="1" si="43"/>
        <v>156556</v>
      </c>
      <c r="O55" s="120">
        <f t="shared" ca="1" si="40"/>
        <v>44.075450450450454</v>
      </c>
      <c r="P55" s="120">
        <f t="shared" ca="1" si="41"/>
        <v>83.655366990125245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IFERROR(__xludf.DUMMYFUNCTION("IMPORTRANGE(""https://docs.google.com/spreadsheets/d/1Yj_ptqi66GCucihVvJfMjLAmec39IyEx_6qawtMGysU/edit?usp=sharing"",""สบก!Z63"")"),187144)</f>
        <v>187144</v>
      </c>
      <c r="N57" s="49">
        <f ca="1">IFERROR(__xludf.DUMMYFUNCTION("IMPORTRANGE(""https://docs.google.com/spreadsheets/d/1Yj_ptqi66GCucihVvJfMjLAmec39IyEx_6qawtMGysU/edit?usp=sharing"",""สบก!AA63"")"),156556)</f>
        <v>156556</v>
      </c>
      <c r="O57" s="38">
        <f ca="1">IF(L57&gt;0,N57*100/L57,0)</f>
        <v>44.075450450450454</v>
      </c>
      <c r="P57" s="38">
        <f ca="1">IF(M57&gt;0,N57*100/M57,0)</f>
        <v>83.655366990125245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263520</v>
      </c>
      <c r="N66" s="152">
        <f t="shared" ca="1" si="45"/>
        <v>262785</v>
      </c>
      <c r="O66" s="151">
        <f t="shared" ref="O66:O68" ca="1" si="46">IF(L66&gt;0,N66*100/L66,0)</f>
        <v>57.907668576465404</v>
      </c>
      <c r="P66" s="151">
        <f t="shared" ref="P66:P68" ca="1" si="47">IF(M66&gt;0,N66*100/M66,0)</f>
        <v>99.721083788706736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263520</v>
      </c>
      <c r="N68" s="157">
        <f t="shared" ca="1" si="49"/>
        <v>262785</v>
      </c>
      <c r="O68" s="156">
        <f t="shared" ca="1" si="46"/>
        <v>57.907668576465404</v>
      </c>
      <c r="P68" s="156">
        <f t="shared" ca="1" si="47"/>
        <v>99.721083788706736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453800</v>
      </c>
      <c r="M70" s="169">
        <f ca="1">IFERROR(__xludf.DUMMYFUNCTION("IMPORTRANGE(""https://docs.google.com/spreadsheets/d/1Yj_ptqi66GCucihVvJfMjLAmec39IyEx_6qawtMGysU/edit?usp=sharing"",""สบก!AI63"")"),263520)</f>
        <v>263520</v>
      </c>
      <c r="N70" s="170">
        <f ca="1">IFERROR(__xludf.DUMMYFUNCTION("IMPORTRANGE(""https://docs.google.com/spreadsheets/d/1Yj_ptqi66GCucihVvJfMjLAmec39IyEx_6qawtMGysU/edit?usp=sharing"",""สบก!AJ63"")"),262785)</f>
        <v>262785</v>
      </c>
      <c r="O70" s="170">
        <f ca="1">IF(L70&gt;0,N70*100/L70,0)</f>
        <v>57.907668576465404</v>
      </c>
      <c r="P70" s="170">
        <f ca="1">IF(M70&gt;0,N70*100/M70,0)</f>
        <v>99.721083788706736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IFERROR(__xludf.DUMMYFUNCTION("IMPORTRANGE(""https://docs.google.com/spreadsheets/d/1Yj_ptqi66GCucihVvJfMjLAmec39IyEx_6qawtMGysU/edit?usp=sharing"",""สบก!AE63"")"),81800)</f>
        <v>81800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IFERROR(__xludf.DUMMYFUNCTION("IMPORTRANGE(""https://docs.google.com/spreadsheets/d/1Yj_ptqi66GCucihVvJfMjLAmec39IyEx_6qawtMGysU/edit?usp=sharing"",""สบก!AF63"")"),372000)</f>
        <v>372000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IFERROR(__xludf.DUMMYFUNCTION("IMPORTRANGE(""https://docs.google.com/spreadsheets/d/1SX6NBoVAgQJ6U1MVXOaj8PK2l7WJ3RER9xtqwdhxkhw/edit?usp=sharing"",""ชัยนาท!J16"")"),0)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IFERROR(__xludf.DUMMYFUNCTION("IMPORTRANGE(""https://docs.google.com/spreadsheets/d/1SX6NBoVAgQJ6U1MVXOaj8PK2l7WJ3RER9xtqwdhxkhw/edit?usp=sharing"",""ชัยนาท!J17"")"),1)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IFERROR(__xludf.DUMMYFUNCTION("IMPORTRANGE(""https://docs.google.com/spreadsheets/d/1SX6NBoVAgQJ6U1MVXOaj8PK2l7WJ3RER9xtqwdhxkhw/edit?usp=sharing"",""ชัยนาท!J18"")"),1)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IFERROR(__xludf.DUMMYFUNCTION("IMPORTRANGE(""https://docs.google.com/spreadsheets/d/1SX6NBoVAgQJ6U1MVXOaj8PK2l7WJ3RER9xtqwdhxkhw/edit?usp=sharing"",""ชัยนาท!J19"")"),0)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IFERROR(__xludf.DUMMYFUNCTION("IMPORTRANGE(""https://docs.google.com/spreadsheets/d/1SX6NBoVAgQJ6U1MVXOaj8PK2l7WJ3RER9xtqwdhxkhw/edit?usp=sharing"",""ชัยนาท!I20"")"),1)</f>
        <v>1</v>
      </c>
      <c r="J80" s="202">
        <f ca="1">IFERROR(__xludf.DUMMYFUNCTION("IMPORTRANGE(""https://docs.google.com/spreadsheets/d/1SX6NBoVAgQJ6U1MVXOaj8PK2l7WJ3RER9xtqwdhxkhw/edit?usp=sharing"",""ชัยนาท!J20"")"),1)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IFERROR(__xludf.DUMMYFUNCTION("IMPORTRANGE(""https://docs.google.com/spreadsheets/d/1SX6NBoVAgQJ6U1MVXOaj8PK2l7WJ3RER9xtqwdhxkhw/edit?usp=sharing"",""ชัยนาท!I21"")"),30)</f>
        <v>30</v>
      </c>
      <c r="J81" s="202">
        <f ca="1">IFERROR(__xludf.DUMMYFUNCTION("IMPORTRANGE(""https://docs.google.com/spreadsheets/d/1SX6NBoVAgQJ6U1MVXOaj8PK2l7WJ3RER9xtqwdhxkhw/edit?usp=sharing"",""ชัยนาท!J21"")"),30)</f>
        <v>30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IFERROR(__xludf.DUMMYFUNCTION("IMPORTRANGE(""https://docs.google.com/spreadsheets/d/1SX6NBoVAgQJ6U1MVXOaj8PK2l7WJ3RER9xtqwdhxkhw/edit?usp=sharing"",""ชัยนาท!I22"")"),0)</f>
        <v>0</v>
      </c>
      <c r="J82" s="205">
        <f ca="1">IFERROR(__xludf.DUMMYFUNCTION("IMPORTRANGE(""https://docs.google.com/spreadsheets/d/1SX6NBoVAgQJ6U1MVXOaj8PK2l7WJ3RER9xtqwdhxkhw/edit?usp=sharing"",""ชัยนาท!J22"")"),0)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IFERROR(__xludf.DUMMYFUNCTION("IMPORTRANGE(""https://docs.google.com/spreadsheets/d/1SX6NBoVAgQJ6U1MVXOaj8PK2l7WJ3RER9xtqwdhxkhw/edit?usp=sharing"",""ชัยนาท!I23"")"),0)</f>
        <v>0</v>
      </c>
      <c r="J83" s="205">
        <f ca="1">IFERROR(__xludf.DUMMYFUNCTION("IMPORTRANGE(""https://docs.google.com/spreadsheets/d/1SX6NBoVAgQJ6U1MVXOaj8PK2l7WJ3RER9xtqwdhxkhw/edit?usp=sharing"",""ชัยนาท!J23"")"),0)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IFERROR(__xludf.DUMMYFUNCTION("IMPORTRANGE(""https://docs.google.com/spreadsheets/d/1SX6NBoVAgQJ6U1MVXOaj8PK2l7WJ3RER9xtqwdhxkhw/edit?usp=sharing"",""ชัยนาท!I24"")"),1)</f>
        <v>1</v>
      </c>
      <c r="J84" s="190">
        <f ca="1">IFERROR(__xludf.DUMMYFUNCTION("IMPORTRANGE(""https://docs.google.com/spreadsheets/d/1SX6NBoVAgQJ6U1MVXOaj8PK2l7WJ3RER9xtqwdhxkhw/edit?usp=sharing"",""ชัยนาท!J24"")"),1)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IFERROR(__xludf.DUMMYFUNCTION("IMPORTRANGE(""https://docs.google.com/spreadsheets/d/1SX6NBoVAgQJ6U1MVXOaj8PK2l7WJ3RER9xtqwdhxkhw/edit?usp=sharing"",""ชัยนาท!I25"")"),30)</f>
        <v>30</v>
      </c>
      <c r="J85" s="190">
        <f ca="1">IFERROR(__xludf.DUMMYFUNCTION("IMPORTRANGE(""https://docs.google.com/spreadsheets/d/1SX6NBoVAgQJ6U1MVXOaj8PK2l7WJ3RER9xtqwdhxkhw/edit?usp=sharing"",""ชัยนาท!J25"")"),30)</f>
        <v>30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IFERROR(__xludf.DUMMYFUNCTION("IMPORTRANGE(""https://docs.google.com/spreadsheets/d/1SX6NBoVAgQJ6U1MVXOaj8PK2l7WJ3RER9xtqwdhxkhw/edit?usp=sharing"",""ชัยนาท!I26"")"),0)</f>
        <v>0</v>
      </c>
      <c r="J86" s="205">
        <f ca="1">IFERROR(__xludf.DUMMYFUNCTION("IMPORTRANGE(""https://docs.google.com/spreadsheets/d/1SX6NBoVAgQJ6U1MVXOaj8PK2l7WJ3RER9xtqwdhxkhw/edit?usp=sharing"",""ชัยนาท!J26"")"),0)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IFERROR(__xludf.DUMMYFUNCTION("IMPORTRANGE(""https://docs.google.com/spreadsheets/d/1SX6NBoVAgQJ6U1MVXOaj8PK2l7WJ3RER9xtqwdhxkhw/edit?usp=sharing"",""ชัยนาท!I27"")"),0)</f>
        <v>0</v>
      </c>
      <c r="J87" s="205">
        <f ca="1">IFERROR(__xludf.DUMMYFUNCTION("IMPORTRANGE(""https://docs.google.com/spreadsheets/d/1SX6NBoVAgQJ6U1MVXOaj8PK2l7WJ3RER9xtqwdhxkhw/edit?usp=sharing"",""ชัยนาท!J27"")"),0)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IFERROR(__xludf.DUMMYFUNCTION("IMPORTRANGE(""https://docs.google.com/spreadsheets/d/1SX6NBoVAgQJ6U1MVXOaj8PK2l7WJ3RER9xtqwdhxkhw/edit?usp=sharing"",""ชัยนาท!I28"")"),0)</f>
        <v>0</v>
      </c>
      <c r="J88" s="205">
        <f ca="1">IFERROR(__xludf.DUMMYFUNCTION("IMPORTRANGE(""https://docs.google.com/spreadsheets/d/1SX6NBoVAgQJ6U1MVXOaj8PK2l7WJ3RER9xtqwdhxkhw/edit?usp=sharing"",""ชัยนาท!J28"")"),0)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IFERROR(__xludf.DUMMYFUNCTION("IMPORTRANGE(""https://docs.google.com/spreadsheets/d/1SX6NBoVAgQJ6U1MVXOaj8PK2l7WJ3RER9xtqwdhxkhw/edit?usp=sharing"",""ชัยนาท!J29"")"),0)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IFERROR(__xludf.DUMMYFUNCTION("IMPORTRANGE(""https://docs.google.com/spreadsheets/d/1SX6NBoVAgQJ6U1MVXOaj8PK2l7WJ3RER9xtqwdhxkhw/edit?usp=sharing"",""ชัยนาท!J30"")"),0)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IFERROR(__xludf.DUMMYFUNCTION("IMPORTRANGE(""https://docs.google.com/spreadsheets/d/1Yj_ptqi66GCucihVvJfMjLAmec39IyEx_6qawtMGysU/edit?usp=sharing"",""สบก!AR63"")"),0)</f>
        <v>0</v>
      </c>
      <c r="N98" s="170">
        <f ca="1">IFERROR(__xludf.DUMMYFUNCTION("IMPORTRANGE(""https://docs.google.com/spreadsheets/d/1Yj_ptqi66GCucihVvJfMjLAmec39IyEx_6qawtMGysU/edit?usp=sharing"",""สบก!AS63"")"),0)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IFERROR(__xludf.DUMMYFUNCTION("IMPORTRANGE(""https://docs.google.com/spreadsheets/d/1Yj_ptqi66GCucihVvJfMjLAmec39IyEx_6qawtMGysU/edit?usp=sharing"",""สบก!AN63"")"),0)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IFERROR(__xludf.DUMMYFUNCTION("IMPORTRANGE(""https://docs.google.com/spreadsheets/d/1Yj_ptqi66GCucihVvJfMjLAmec39IyEx_6qawtMGysU/edit?usp=sharing"",""สบก!AO63"")"),0)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IFERROR(__xludf.DUMMYFUNCTION("IMPORTRANGE(""https://docs.google.com/spreadsheets/d/1SX6NBoVAgQJ6U1MVXOaj8PK2l7WJ3RER9xtqwdhxkhw/edit?usp=sharing"",""ชัยนาท!I43"")"),0)</f>
        <v>0</v>
      </c>
      <c r="J108" s="205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IFERROR(__xludf.DUMMYFUNCTION("IMPORTRANGE(""https://docs.google.com/spreadsheets/d/1SX6NBoVAgQJ6U1MVXOaj8PK2l7WJ3RER9xtqwdhxkhw/edit?usp=sharing"",""ชัยนาท!I44"")"),0)</f>
        <v>0</v>
      </c>
      <c r="J109" s="205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IFERROR(__xludf.DUMMYFUNCTION("IMPORTRANGE(""https://docs.google.com/spreadsheets/d/1SX6NBoVAgQJ6U1MVXOaj8PK2l7WJ3RER9xtqwdhxkhw/edit?usp=sharing"",""ชัยนาท!I45"")"),0)</f>
        <v>0</v>
      </c>
      <c r="J110" s="205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IFERROR(__xludf.DUMMYFUNCTION("IMPORTRANGE(""https://docs.google.com/spreadsheets/d/1SX6NBoVAgQJ6U1MVXOaj8PK2l7WJ3RER9xtqwdhxkhw/edit?usp=sharing"",""ชัยนาท!I46"")"),0)</f>
        <v>0</v>
      </c>
      <c r="J111" s="205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IFERROR(__xludf.DUMMYFUNCTION("IMPORTRANGE(""https://docs.google.com/spreadsheets/d/1SX6NBoVAgQJ6U1MVXOaj8PK2l7WJ3RER9xtqwdhxkhw/edit?usp=sharing"",""ชัยนาท!I47"")"),0)</f>
        <v>0</v>
      </c>
      <c r="J112" s="205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IFERROR(__xludf.DUMMYFUNCTION("IMPORTRANGE(""https://docs.google.com/spreadsheets/d/1SX6NBoVAgQJ6U1MVXOaj8PK2l7WJ3RER9xtqwdhxkhw/edit?usp=sharing"",""ชัยนาท!I48"")"),0)</f>
        <v>0</v>
      </c>
      <c r="J113" s="205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IFERROR(__xludf.DUMMYFUNCTION("IMPORTRANGE(""https://docs.google.com/spreadsheets/d/1Yj_ptqi66GCucihVvJfMjLAmec39IyEx_6qawtMGysU/edit?usp=sharing"",""สบก!BA63"")"),0)</f>
        <v>0</v>
      </c>
      <c r="N122" s="170">
        <f ca="1">IFERROR(__xludf.DUMMYFUNCTION("IMPORTRANGE(""https://docs.google.com/spreadsheets/d/1Yj_ptqi66GCucihVvJfMjLAmec39IyEx_6qawtMGysU/edit?usp=sharing"",""สบก!BB63"")"),0)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IFERROR(__xludf.DUMMYFUNCTION("IMPORTRANGE(""https://docs.google.com/spreadsheets/d/1Yj_ptqi66GCucihVvJfMjLAmec39IyEx_6qawtMGysU/edit?usp=sharing"",""สบก!AW63"")"),0)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IFERROR(__xludf.DUMMYFUNCTION("IMPORTRANGE(""https://docs.google.com/spreadsheets/d/1Yj_ptqi66GCucihVvJfMjLAmec39IyEx_6qawtMGysU/edit?usp=sharing"",""สบก!AX63"")"),0)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247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IFERROR(__xludf.DUMMYFUNCTION("IMPORTRANGE(""https://docs.google.com/spreadsheets/d/1SX6NBoVAgQJ6U1MVXOaj8PK2l7WJ3RER9xtqwdhxkhw/edit?usp=sharing"",""ชัยนาท!I62"")"),0)</f>
        <v>0</v>
      </c>
      <c r="J132" s="205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IFERROR(__xludf.DUMMYFUNCTION("IMPORTRANGE(""https://docs.google.com/spreadsheets/d/1SX6NBoVAgQJ6U1MVXOaj8PK2l7WJ3RER9xtqwdhxkhw/edit?usp=sharing"",""ชัยนาท!I63"")"),0)</f>
        <v>0</v>
      </c>
      <c r="J133" s="205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264400</v>
      </c>
      <c r="M140" s="152">
        <f t="shared" ca="1" si="64"/>
        <v>150650</v>
      </c>
      <c r="N140" s="152">
        <f t="shared" ca="1" si="64"/>
        <v>102082</v>
      </c>
      <c r="O140" s="151">
        <f t="shared" ref="O140:O142" ca="1" si="65">IF(L140&gt;0,N140*100/L140,0)</f>
        <v>38.608925869894101</v>
      </c>
      <c r="P140" s="151">
        <f t="shared" ref="P140:P142" ca="1" si="66">IF(M140&gt;0,N140*100/M140,0)</f>
        <v>67.761035512777966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264400</v>
      </c>
      <c r="M142" s="157">
        <f t="shared" ca="1" si="68"/>
        <v>150650</v>
      </c>
      <c r="N142" s="157">
        <f t="shared" ca="1" si="68"/>
        <v>102082</v>
      </c>
      <c r="O142" s="156">
        <f t="shared" ca="1" si="65"/>
        <v>38.608925869894101</v>
      </c>
      <c r="P142" s="156">
        <f t="shared" ca="1" si="66"/>
        <v>67.761035512777966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264400</v>
      </c>
      <c r="M144" s="169">
        <f ca="1">IFERROR(__xludf.DUMMYFUNCTION("IMPORTRANGE(""https://docs.google.com/spreadsheets/d/1Yj_ptqi66GCucihVvJfMjLAmec39IyEx_6qawtMGysU/edit?usp=sharing"",""สบก!BJ63"")"),150650)</f>
        <v>150650</v>
      </c>
      <c r="N144" s="170">
        <f ca="1">IFERROR(__xludf.DUMMYFUNCTION("IMPORTRANGE(""https://docs.google.com/spreadsheets/d/1Yj_ptqi66GCucihVvJfMjLAmec39IyEx_6qawtMGysU/edit?usp=sharing"",""สบก!BK63"")"),102082)</f>
        <v>102082</v>
      </c>
      <c r="O144" s="170">
        <f ca="1">IF(L144&gt;0,N144*100/L144,0)</f>
        <v>38.608925869894101</v>
      </c>
      <c r="P144" s="170">
        <f ca="1">IF(M144&gt;0,N144*100/M144,0)</f>
        <v>67.761035512777966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IFERROR(__xludf.DUMMYFUNCTION("IMPORTRANGE(""https://docs.google.com/spreadsheets/d/1Yj_ptqi66GCucihVvJfMjLAmec39IyEx_6qawtMGysU/edit?usp=sharing"",""สบก!BF63"")"),219800)</f>
        <v>219800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IFERROR(__xludf.DUMMYFUNCTION("IMPORTRANGE(""https://docs.google.com/spreadsheets/d/1Yj_ptqi66GCucihVvJfMjLAmec39IyEx_6qawtMGysU/edit?usp=sharing"",""สบก!BG63"")"),44600)</f>
        <v>44600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IFERROR(__xludf.DUMMYFUNCTION("IMPORTRANGE(""https://docs.google.com/spreadsheets/d/1SX6NBoVAgQJ6U1MVXOaj8PK2l7WJ3RER9xtqwdhxkhw/edit?usp=sharing"",""ชัยนาท!J79"")"),0)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IFERROR(__xludf.DUMMYFUNCTION("IMPORTRANGE(""https://docs.google.com/spreadsheets/d/1SX6NBoVAgQJ6U1MVXOaj8PK2l7WJ3RER9xtqwdhxkhw/edit?usp=sharing"",""ชัยนาท!J80"")"),1)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IFERROR(__xludf.DUMMYFUNCTION("IMPORTRANGE(""https://docs.google.com/spreadsheets/d/1SX6NBoVAgQJ6U1MVXOaj8PK2l7WJ3RER9xtqwdhxkhw/edit?usp=sharing"",""ชัยนาท!J81"")"),0)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IFERROR(__xludf.DUMMYFUNCTION("IMPORTRANGE(""https://docs.google.com/spreadsheets/d/1SX6NBoVAgQJ6U1MVXOaj8PK2l7WJ3RER9xtqwdhxkhw/edit?usp=sharing"",""ชัยนาท!J82"")"),0)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IFERROR(__xludf.DUMMYFUNCTION("IMPORTRANGE(""https://docs.google.com/spreadsheets/d/1SX6NBoVAgQJ6U1MVXOaj8PK2l7WJ3RER9xtqwdhxkhw/edit?usp=sharing"",""ชัยนาท!I83"")"),4)</f>
        <v>4</v>
      </c>
      <c r="J158" s="190">
        <f ca="1">IFERROR(__xludf.DUMMYFUNCTION("IMPORTRANGE(""https://docs.google.com/spreadsheets/d/1SX6NBoVAgQJ6U1MVXOaj8PK2l7WJ3RER9xtqwdhxkhw/edit?usp=sharing"",""ชัยนาท!J83"")"),1)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IFERROR(__xludf.DUMMYFUNCTION("IMPORTRANGE(""https://docs.google.com/spreadsheets/d/1SX6NBoVAgQJ6U1MVXOaj8PK2l7WJ3RER9xtqwdhxkhw/edit?usp=sharing"",""ชัยนาท!J84"")"),21)</f>
        <v>21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IFERROR(__xludf.DUMMYFUNCTION("IMPORTRANGE(""https://docs.google.com/spreadsheets/d/1SX6NBoVAgQJ6U1MVXOaj8PK2l7WJ3RER9xtqwdhxkhw/edit?usp=sharing"",""ชัยนาท!J85"")"),21)</f>
        <v>21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IFERROR(__xludf.DUMMYFUNCTION("IMPORTRANGE(""https://docs.google.com/spreadsheets/d/1SX6NBoVAgQJ6U1MVXOaj8PK2l7WJ3RER9xtqwdhxkhw/edit?usp=sharing"",""ชัยนาท!J86"")"),0)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IFERROR(__xludf.DUMMYFUNCTION("IMPORTRANGE(""https://docs.google.com/spreadsheets/d/1SX6NBoVAgQJ6U1MVXOaj8PK2l7WJ3RER9xtqwdhxkhw/edit?usp=sharing"",""ชัยนาท!J87"")"),0)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IFERROR(__xludf.DUMMYFUNCTION("IMPORTRANGE(""https://docs.google.com/spreadsheets/d/1SX6NBoVAgQJ6U1MVXOaj8PK2l7WJ3RER9xtqwdhxkhw/edit?usp=sharing"",""ชัยนาท!J88"")"),0)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IFERROR(__xludf.DUMMYFUNCTION("IMPORTRANGE(""https://docs.google.com/spreadsheets/d/1SX6NBoVAgQJ6U1MVXOaj8PK2l7WJ3RER9xtqwdhxkhw/edit?usp=sharing"",""ชัยนาท!I89"")"),1)</f>
        <v>1</v>
      </c>
      <c r="J164" s="284">
        <f ca="1">IFERROR(__xludf.DUMMYFUNCTION("IMPORTRANGE(""https://docs.google.com/spreadsheets/d/1SX6NBoVAgQJ6U1MVXOaj8PK2l7WJ3RER9xtqwdhxkhw/edit?usp=sharing"",""ชัยนาท!J89"")"),1)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IFERROR(__xludf.DUMMYFUNCTION("IMPORTRANGE(""https://docs.google.com/spreadsheets/d/1SX6NBoVAgQJ6U1MVXOaj8PK2l7WJ3RER9xtqwdhxkhw/edit?usp=sharing"",""ชัยนาท!J94"")"),0)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IFERROR(__xludf.DUMMYFUNCTION("IMPORTRANGE(""https://docs.google.com/spreadsheets/d/1SX6NBoVAgQJ6U1MVXOaj8PK2l7WJ3RER9xtqwdhxkhw/edit?usp=sharing"",""ชัยนาท!J95"")"),1)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IFERROR(__xludf.DUMMYFUNCTION("IMPORTRANGE(""https://docs.google.com/spreadsheets/d/1SX6NBoVAgQJ6U1MVXOaj8PK2l7WJ3RER9xtqwdhxkhw/edit?usp=sharing"",""ชัยนาท!J96"")"),1)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IFERROR(__xludf.DUMMYFUNCTION("IMPORTRANGE(""https://docs.google.com/spreadsheets/d/1SX6NBoVAgQJ6U1MVXOaj8PK2l7WJ3RER9xtqwdhxkhw/edit?usp=sharing"",""ชัยนาท!J97"")"),1)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IFERROR(__xludf.DUMMYFUNCTION("IMPORTRANGE(""https://docs.google.com/spreadsheets/d/1SX6NBoVAgQJ6U1MVXOaj8PK2l7WJ3RER9xtqwdhxkhw/edit?usp=sharing"",""ชัยนาท!I98"")"),1)</f>
        <v>1</v>
      </c>
      <c r="J173" s="190">
        <f ca="1">IFERROR(__xludf.DUMMYFUNCTION("IMPORTRANGE(""https://docs.google.com/spreadsheets/d/1SX6NBoVAgQJ6U1MVXOaj8PK2l7WJ3RER9xtqwdhxkhw/edit?usp=sharing"",""ชัยนาท!J98"")"),1)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IFERROR(__xludf.DUMMYFUNCTION("IMPORTRANGE(""https://docs.google.com/spreadsheets/d/1SX6NBoVAgQJ6U1MVXOaj8PK2l7WJ3RER9xtqwdhxkhw/edit?usp=sharing"",""ชัยนาท!J99"")"),0)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IFERROR(__xludf.DUMMYFUNCTION("IMPORTRANGE(""https://docs.google.com/spreadsheets/d/1SX6NBoVAgQJ6U1MVXOaj8PK2l7WJ3RER9xtqwdhxkhw/edit?usp=sharing"",""ชัยนาท!J100"")"),0)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IFERROR(__xludf.DUMMYFUNCTION("IMPORTRANGE(""https://docs.google.com/spreadsheets/d/1SX6NBoVAgQJ6U1MVXOaj8PK2l7WJ3RER9xtqwdhxkhw/edit?usp=sharing"",""ชัยนาท!I101"")"),0)</f>
        <v>0</v>
      </c>
      <c r="J176" s="284">
        <f ca="1">IFERROR(__xludf.DUMMYFUNCTION("IMPORTRANGE(""https://docs.google.com/spreadsheets/d/1SX6NBoVAgQJ6U1MVXOaj8PK2l7WJ3RER9xtqwdhxkhw/edit?usp=sharing"",""ชัยนาท!J101"")"),0)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IFERROR(__xludf.DUMMYFUNCTION("IMPORTRANGE(""https://docs.google.com/spreadsheets/d/1SX6NBoVAgQJ6U1MVXOaj8PK2l7WJ3RER9xtqwdhxkhw/edit?usp=sharing"",""ชัยนาท!I110"")"),0)</f>
        <v>0</v>
      </c>
      <c r="J185" s="205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IFERROR(__xludf.DUMMYFUNCTION("IMPORTRANGE(""https://docs.google.com/spreadsheets/d/1SX6NBoVAgQJ6U1MVXOaj8PK2l7WJ3RER9xtqwdhxkhw/edit?usp=sharing"",""ชัยนาท!I111"")"),0)</f>
        <v>0</v>
      </c>
      <c r="J186" s="205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IFERROR(__xludf.DUMMYFUNCTION("IMPORTRANGE(""https://docs.google.com/spreadsheets/d/1SX6NBoVAgQJ6U1MVXOaj8PK2l7WJ3RER9xtqwdhxkhw/edit?usp=sharing"",""ชัยนาท!I114"")"),12800)</f>
        <v>12800</v>
      </c>
      <c r="J189" s="284">
        <f ca="1">IFERROR(__xludf.DUMMYFUNCTION("IMPORTRANGE(""https://docs.google.com/spreadsheets/d/1SX6NBoVAgQJ6U1MVXOaj8PK2l7WJ3RER9xtqwdhxkhw/edit?usp=sharing"",""ชัยนาท!J114"")"),0)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IFERROR(__xludf.DUMMYFUNCTION("IMPORTRANGE(""https://docs.google.com/spreadsheets/d/1SX6NBoVAgQJ6U1MVXOaj8PK2l7WJ3RER9xtqwdhxkhw/edit?usp=sharing"",""ชัยนาท!J119"")"),0)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IFERROR(__xludf.DUMMYFUNCTION("IMPORTRANGE(""https://docs.google.com/spreadsheets/d/1SX6NBoVAgQJ6U1MVXOaj8PK2l7WJ3RER9xtqwdhxkhw/edit?usp=sharing"",""ชัยนาท!J120"")"),1)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IFERROR(__xludf.DUMMYFUNCTION("IMPORTRANGE(""https://docs.google.com/spreadsheets/d/1SX6NBoVAgQJ6U1MVXOaj8PK2l7WJ3RER9xtqwdhxkhw/edit?usp=sharing"",""ชัยนาท!J121"")"),1)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IFERROR(__xludf.DUMMYFUNCTION("IMPORTRANGE(""https://docs.google.com/spreadsheets/d/1SX6NBoVAgQJ6U1MVXOaj8PK2l7WJ3RER9xtqwdhxkhw/edit?usp=sharing"",""ชัยนาท!J122"")"),1)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IFERROR(__xludf.DUMMYFUNCTION("IMPORTRANGE(""https://docs.google.com/spreadsheets/d/1SX6NBoVAgQJ6U1MVXOaj8PK2l7WJ3RER9xtqwdhxkhw/edit?usp=sharing"",""ชัยนาท!I124"")"),12800)</f>
        <v>12800</v>
      </c>
      <c r="J199" s="190">
        <f ca="1">IFERROR(__xludf.DUMMYFUNCTION("IMPORTRANGE(""https://docs.google.com/spreadsheets/d/1SX6NBoVAgQJ6U1MVXOaj8PK2l7WJ3RER9xtqwdhxkhw/edit?usp=sharing"",""ชัยนาท!J124"")"),0)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IFERROR(__xludf.DUMMYFUNCTION("IMPORTRANGE(""https://docs.google.com/spreadsheets/d/1SX6NBoVAgQJ6U1MVXOaj8PK2l7WJ3RER9xtqwdhxkhw/edit?usp=sharing"",""ชัยนาท!I125"")"),12800)</f>
        <v>12800</v>
      </c>
      <c r="J200" s="190">
        <f ca="1">IFERROR(__xludf.DUMMYFUNCTION("IMPORTRANGE(""https://docs.google.com/spreadsheets/d/1SX6NBoVAgQJ6U1MVXOaj8PK2l7WJ3RER9xtqwdhxkhw/edit?usp=sharing"",""ชัยนาท!J125"")"),0)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IFERROR(__xludf.DUMMYFUNCTION("IMPORTRANGE(""https://docs.google.com/spreadsheets/d/1SX6NBoVAgQJ6U1MVXOaj8PK2l7WJ3RER9xtqwdhxkhw/edit?usp=sharing"",""ชัยนาท!I126"")"),15)</f>
        <v>15</v>
      </c>
      <c r="J201" s="190">
        <f ca="1">IFERROR(__xludf.DUMMYFUNCTION("IMPORTRANGE(""https://docs.google.com/spreadsheets/d/1SX6NBoVAgQJ6U1MVXOaj8PK2l7WJ3RER9xtqwdhxkhw/edit?usp=sharing"",""ชัยนาท!J126"")"),15)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IFERROR(__xludf.DUMMYFUNCTION("IMPORTRANGE(""https://docs.google.com/spreadsheets/d/1SX6NBoVAgQJ6U1MVXOaj8PK2l7WJ3RER9xtqwdhxkhw/edit?usp=sharing"",""ชัยนาท!J127"")"),0)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IFERROR(__xludf.DUMMYFUNCTION("IMPORTRANGE(""https://docs.google.com/spreadsheets/d/1SX6NBoVAgQJ6U1MVXOaj8PK2l7WJ3RER9xtqwdhxkhw/edit?usp=sharing"",""ชัยนาท!J128"")"),0)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IFERROR(__xludf.DUMMYFUNCTION("IMPORTRANGE(""https://docs.google.com/spreadsheets/d/1SX6NBoVAgQJ6U1MVXOaj8PK2l7WJ3RER9xtqwdhxkhw/edit?usp=sharing"",""ชัยนาท!I129"")"),0)</f>
        <v>0</v>
      </c>
      <c r="J204" s="284">
        <f ca="1">IFERROR(__xludf.DUMMYFUNCTION("IMPORTRANGE(""https://docs.google.com/spreadsheets/d/1SX6NBoVAgQJ6U1MVXOaj8PK2l7WJ3RER9xtqwdhxkhw/edit?usp=sharing"",""ชัยนาท!J129"")"),0)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IFERROR(__xludf.DUMMYFUNCTION("IMPORTRANGE(""https://docs.google.com/spreadsheets/d/1SX6NBoVAgQJ6U1MVXOaj8PK2l7WJ3RER9xtqwdhxkhw/edit?usp=sharing"",""ชัยนาท!I138"")"),0)</f>
        <v>0</v>
      </c>
      <c r="J213" s="205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IFERROR(__xludf.DUMMYFUNCTION("IMPORTRANGE(""https://docs.google.com/spreadsheets/d/1SX6NBoVAgQJ6U1MVXOaj8PK2l7WJ3RER9xtqwdhxkhw/edit?usp=sharing"",""ชัยนาท!I140"")"),0)</f>
        <v>0</v>
      </c>
      <c r="J215" s="205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IFERROR(__xludf.DUMMYFUNCTION("IMPORTRANGE(""https://docs.google.com/spreadsheets/d/1SX6NBoVAgQJ6U1MVXOaj8PK2l7WJ3RER9xtqwdhxkhw/edit?usp=sharing"",""ชัยนาท!I141"")"),0)</f>
        <v>0</v>
      </c>
      <c r="J216" s="205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IFERROR(__xludf.DUMMYFUNCTION("IMPORTRANGE(""https://docs.google.com/spreadsheets/d/1Yj_ptqi66GCucihVvJfMjLAmec39IyEx_6qawtMGysU/edit?usp=sharing"",""สบก!BS63"")"),19295)</f>
        <v>19295</v>
      </c>
      <c r="N224" s="170">
        <f ca="1">IFERROR(__xludf.DUMMYFUNCTION("IMPORTRANGE(""https://docs.google.com/spreadsheets/d/1Yj_ptqi66GCucihVvJfMjLAmec39IyEx_6qawtMGysU/edit?usp=sharing"",""สบก!BT63"")"),19295)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IFERROR(__xludf.DUMMYFUNCTION("IMPORTRANGE(""https://docs.google.com/spreadsheets/d/1Yj_ptqi66GCucihVvJfMjLAmec39IyEx_6qawtMGysU/edit?usp=sharing"",""สบก!BO63"")"),0)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IFERROR(__xludf.DUMMYFUNCTION("IMPORTRANGE(""https://docs.google.com/spreadsheets/d/1Yj_ptqi66GCucihVvJfMjLAmec39IyEx_6qawtMGysU/edit?usp=sharing"",""สบก!BP63"")"),19295)</f>
        <v>19295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IFERROR(__xludf.DUMMYFUNCTION("IMPORTRANGE(""https://docs.google.com/spreadsheets/d/1SX6NBoVAgQJ6U1MVXOaj8PK2l7WJ3RER9xtqwdhxkhw/edit?usp=sharing"",""ชัยนาท!J151"")"),0)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IFERROR(__xludf.DUMMYFUNCTION("IMPORTRANGE(""https://docs.google.com/spreadsheets/d/1SX6NBoVAgQJ6U1MVXOaj8PK2l7WJ3RER9xtqwdhxkhw/edit?usp=sharing"",""ชัยนาท!J152"")"),1)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IFERROR(__xludf.DUMMYFUNCTION("IMPORTRANGE(""https://docs.google.com/spreadsheets/d/1SX6NBoVAgQJ6U1MVXOaj8PK2l7WJ3RER9xtqwdhxkhw/edit?usp=sharing"",""ชัยนาท!J153"")"),1)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IFERROR(__xludf.DUMMYFUNCTION("IMPORTRANGE(""https://docs.google.com/spreadsheets/d/1SX6NBoVAgQJ6U1MVXOaj8PK2l7WJ3RER9xtqwdhxkhw/edit?usp=sharing"",""ชัยนาท!J154"")"),0)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IFERROR(__xludf.DUMMYFUNCTION("IMPORTRANGE(""https://docs.google.com/spreadsheets/d/1SX6NBoVAgQJ6U1MVXOaj8PK2l7WJ3RER9xtqwdhxkhw/edit?usp=sharing"",""ชัยนาท!I155"")"),13)</f>
        <v>13</v>
      </c>
      <c r="J235" s="190">
        <f ca="1">IFERROR(__xludf.DUMMYFUNCTION("IMPORTRANGE(""https://docs.google.com/spreadsheets/d/1SX6NBoVAgQJ6U1MVXOaj8PK2l7WJ3RER9xtqwdhxkhw/edit?usp=sharing"",""ชัยนาท!J155"")"),13)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IFERROR(__xludf.DUMMYFUNCTION("IMPORTRANGE(""https://docs.google.com/spreadsheets/d/1SX6NBoVAgQJ6U1MVXOaj8PK2l7WJ3RER9xtqwdhxkhw/edit?usp=sharing"",""ชัยนาท!J156"")"),0)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IFERROR(__xludf.DUMMYFUNCTION("IMPORTRANGE(""https://docs.google.com/spreadsheets/d/1SX6NBoVAgQJ6U1MVXOaj8PK2l7WJ3RER9xtqwdhxkhw/edit?usp=sharing"",""ชัยนาท!J157"")"),0)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IFERROR(__xludf.DUMMYFUNCTION("IMPORTRANGE(""https://docs.google.com/spreadsheets/d/1SX6NBoVAgQJ6U1MVXOaj8PK2l7WJ3RER9xtqwdhxkhw/edit?usp=sharing"",""ชัยนาท!J159"")"),"")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IFERROR(__xludf.DUMMYFUNCTION("IMPORTRANGE(""https://docs.google.com/spreadsheets/d/1SX6NBoVAgQJ6U1MVXOaj8PK2l7WJ3RER9xtqwdhxkhw/edit?usp=sharing"",""ชัยนาท!J161"")"),0)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IFERROR(__xludf.DUMMYFUNCTION("IMPORTRANGE(""https://docs.google.com/spreadsheets/d/1SX6NBoVAgQJ6U1MVXOaj8PK2l7WJ3RER9xtqwdhxkhw/edit?usp=sharing"",""ชัยนาท!J162"")"),0)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IFERROR(__xludf.DUMMYFUNCTION("IMPORTRANGE(""https://docs.google.com/spreadsheets/d/1SX6NBoVAgQJ6U1MVXOaj8PK2l7WJ3RER9xtqwdhxkhw/edit?usp=sharing"",""ชัยนาท!J163"")"),0)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IFERROR(__xludf.DUMMYFUNCTION("IMPORTRANGE(""https://docs.google.com/spreadsheets/d/1SX6NBoVAgQJ6U1MVXOaj8PK2l7WJ3RER9xtqwdhxkhw/edit?usp=sharing"",""ชัยนาท!I164"")"),0)</f>
        <v>0</v>
      </c>
      <c r="J244" s="189">
        <f ca="1">IFERROR(__xludf.DUMMYFUNCTION("IMPORTRANGE(""https://docs.google.com/spreadsheets/d/1SX6NBoVAgQJ6U1MVXOaj8PK2l7WJ3RER9xtqwdhxkhw/edit?usp=sharing"",""ชัยนาท!J164"")"),0)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IFERROR(__xludf.DUMMYFUNCTION("IMPORTRANGE(""https://docs.google.com/spreadsheets/d/1SX6NBoVAgQJ6U1MVXOaj8PK2l7WJ3RER9xtqwdhxkhw/edit?usp=sharing"",""ชัยนาท!J165"")"),0)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IFERROR(__xludf.DUMMYFUNCTION("IMPORTRANGE(""https://docs.google.com/spreadsheets/d/1SX6NBoVAgQJ6U1MVXOaj8PK2l7WJ3RER9xtqwdhxkhw/edit?usp=sharing"",""ชัยนาท!I169"")"),20)</f>
        <v>20</v>
      </c>
      <c r="J249" s="316">
        <f ca="1">IFERROR(__xludf.DUMMYFUNCTION("IMPORTRANGE(""https://docs.google.com/spreadsheets/d/1SX6NBoVAgQJ6U1MVXOaj8PK2l7WJ3RER9xtqwdhxkhw/edit?usp=sharing"",""ชัยนาท!J169"")"),20)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32280</v>
      </c>
      <c r="O250" s="151">
        <f t="shared" ref="O250:O252" ca="1" si="78">IF(L250&gt;0,N250*100/L250,0)</f>
        <v>45.210084033613448</v>
      </c>
      <c r="P250" s="151">
        <f t="shared" ref="P250:P252" ca="1" si="79">IF(M250&gt;0,N250*100/M250,0)</f>
        <v>87.243243243243242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32280</v>
      </c>
      <c r="O252" s="156">
        <f t="shared" ca="1" si="78"/>
        <v>45.210084033613448</v>
      </c>
      <c r="P252" s="156">
        <f t="shared" ca="1" si="79"/>
        <v>87.243243243243242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169">
        <f ca="1">IFERROR(__xludf.DUMMYFUNCTION("IMPORTRANGE(""https://docs.google.com/spreadsheets/d/1Yj_ptqi66GCucihVvJfMjLAmec39IyEx_6qawtMGysU/edit?usp=sharing"",""สบก!CB63"")"),37000)</f>
        <v>37000</v>
      </c>
      <c r="N254" s="170">
        <f ca="1">IFERROR(__xludf.DUMMYFUNCTION("IMPORTRANGE(""https://docs.google.com/spreadsheets/d/1Yj_ptqi66GCucihVvJfMjLAmec39IyEx_6qawtMGysU/edit?usp=sharing"",""สบก!CC63"")"),32280)</f>
        <v>32280</v>
      </c>
      <c r="O254" s="170">
        <f ca="1">IF(L254&gt;0,N254*100/L254,0)</f>
        <v>45.210084033613448</v>
      </c>
      <c r="P254" s="170">
        <f ca="1">IF(M254&gt;0,N254*100/M254,0)</f>
        <v>87.243243243243242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IFERROR(__xludf.DUMMYFUNCTION("IMPORTRANGE(""https://docs.google.com/spreadsheets/d/1Yj_ptqi66GCucihVvJfMjLAmec39IyEx_6qawtMGysU/edit?usp=sharing"",""สบก!BX63"")"),0)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IFERROR(__xludf.DUMMYFUNCTION("IMPORTRANGE(""https://docs.google.com/spreadsheets/d/1Yj_ptqi66GCucihVvJfMjLAmec39IyEx_6qawtMGysU/edit?usp=sharing"",""สบก!BY63"")"),71400)</f>
        <v>71400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IFERROR(__xludf.DUMMYFUNCTION("IMPORTRANGE(""https://docs.google.com/spreadsheets/d/1SX6NBoVAgQJ6U1MVXOaj8PK2l7WJ3RER9xtqwdhxkhw/edit?usp=sharing"",""ชัยนาท!J175"")"),1)</f>
        <v>1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IFERROR(__xludf.DUMMYFUNCTION("IMPORTRANGE(""https://docs.google.com/spreadsheets/d/1SX6NBoVAgQJ6U1MVXOaj8PK2l7WJ3RER9xtqwdhxkhw/edit?usp=sharing"",""ชัยนาท!J176"")"),0)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IFERROR(__xludf.DUMMYFUNCTION("IMPORTRANGE(""https://docs.google.com/spreadsheets/d/1SX6NBoVAgQJ6U1MVXOaj8PK2l7WJ3RER9xtqwdhxkhw/edit?usp=sharing"",""ชัยนาท!J177"")"),0)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IFERROR(__xludf.DUMMYFUNCTION("IMPORTRANGE(""https://docs.google.com/spreadsheets/d/1SX6NBoVAgQJ6U1MVXOaj8PK2l7WJ3RER9xtqwdhxkhw/edit?usp=sharing"",""ชัยนาท!J178"")"),0)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IFERROR(__xludf.DUMMYFUNCTION("IMPORTRANGE(""https://docs.google.com/spreadsheets/d/1SX6NBoVAgQJ6U1MVXOaj8PK2l7WJ3RER9xtqwdhxkhw/edit?usp=sharing"",""ชัยนาท!I179"")"),1)</f>
        <v>1</v>
      </c>
      <c r="J264" s="190">
        <f ca="1">IFERROR(__xludf.DUMMYFUNCTION("IMPORTRANGE(""https://docs.google.com/spreadsheets/d/1SX6NBoVAgQJ6U1MVXOaj8PK2l7WJ3RER9xtqwdhxkhw/edit?usp=sharing"",""ชัยนาท!J179"")"),0)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IFERROR(__xludf.DUMMYFUNCTION("IMPORTRANGE(""https://docs.google.com/spreadsheets/d/1SX6NBoVAgQJ6U1MVXOaj8PK2l7WJ3RER9xtqwdhxkhw/edit?usp=sharing"",""ชัยนาท!I180"")"),20)</f>
        <v>20</v>
      </c>
      <c r="J265" s="190">
        <f ca="1">IFERROR(__xludf.DUMMYFUNCTION("IMPORTRANGE(""https://docs.google.com/spreadsheets/d/1SX6NBoVAgQJ6U1MVXOaj8PK2l7WJ3RER9xtqwdhxkhw/edit?usp=sharing"",""ชัยนาท!J180"")"),20)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IFERROR(__xludf.DUMMYFUNCTION("IMPORTRANGE(""https://docs.google.com/spreadsheets/d/1SX6NBoVAgQJ6U1MVXOaj8PK2l7WJ3RER9xtqwdhxkhw/edit?usp=sharing"",""ชัยนาท!I181"")"),20)</f>
        <v>20</v>
      </c>
      <c r="J266" s="190">
        <f ca="1">IFERROR(__xludf.DUMMYFUNCTION("IMPORTRANGE(""https://docs.google.com/spreadsheets/d/1SX6NBoVAgQJ6U1MVXOaj8PK2l7WJ3RER9xtqwdhxkhw/edit?usp=sharing"",""ชัยนาท!J181"")"),0)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IFERROR(__xludf.DUMMYFUNCTION("IMPORTRANGE(""https://docs.google.com/spreadsheets/d/1SX6NBoVAgQJ6U1MVXOaj8PK2l7WJ3RER9xtqwdhxkhw/edit?usp=sharing"",""ชัยนาท!I182"")"),1)</f>
        <v>1</v>
      </c>
      <c r="J267" s="190">
        <f ca="1">IFERROR(__xludf.DUMMYFUNCTION("IMPORTRANGE(""https://docs.google.com/spreadsheets/d/1SX6NBoVAgQJ6U1MVXOaj8PK2l7WJ3RER9xtqwdhxkhw/edit?usp=sharing"",""ชัยนาท!J182"")"),0)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IFERROR(__xludf.DUMMYFUNCTION("IMPORTRANGE(""https://docs.google.com/spreadsheets/d/1SX6NBoVAgQJ6U1MVXOaj8PK2l7WJ3RER9xtqwdhxkhw/edit?usp=sharing"",""ชัยนาท!J183"")"),0)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IFERROR(__xludf.DUMMYFUNCTION("IMPORTRANGE(""https://docs.google.com/spreadsheets/d/1SX6NBoVAgQJ6U1MVXOaj8PK2l7WJ3RER9xtqwdhxkhw/edit?usp=sharing"",""ชัยนาท!J184"")"),0)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IFERROR(__xludf.DUMMYFUNCTION("IMPORTRANGE(""https://docs.google.com/spreadsheets/d/1SX6NBoVAgQJ6U1MVXOaj8PK2l7WJ3RER9xtqwdhxkhw/edit?usp=sharing"",""ชัยนาท!I185"")"),15)</f>
        <v>15</v>
      </c>
      <c r="J270" s="316">
        <f ca="1">IFERROR(__xludf.DUMMYFUNCTION("IMPORTRANGE(""https://docs.google.com/spreadsheets/d/1SX6NBoVAgQJ6U1MVXOaj8PK2l7WJ3RER9xtqwdhxkhw/edit?usp=sharing"",""ชัยนาท!J185"")"),15)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165200</v>
      </c>
      <c r="M271" s="152">
        <f t="shared" ca="1" si="83"/>
        <v>87250</v>
      </c>
      <c r="N271" s="152">
        <f t="shared" ca="1" si="83"/>
        <v>70780</v>
      </c>
      <c r="O271" s="151">
        <f t="shared" ref="O271:O273" ca="1" si="84">IF(L271&gt;0,N271*100/L271,0)</f>
        <v>42.845036319612589</v>
      </c>
      <c r="P271" s="151">
        <f t="shared" ref="P271:P273" ca="1" si="85">IF(M271&gt;0,N271*100/M271,0)</f>
        <v>81.123209169054448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165200</v>
      </c>
      <c r="M273" s="157">
        <f t="shared" ca="1" si="87"/>
        <v>87250</v>
      </c>
      <c r="N273" s="157">
        <f t="shared" ca="1" si="87"/>
        <v>70780</v>
      </c>
      <c r="O273" s="156">
        <f t="shared" ca="1" si="84"/>
        <v>42.845036319612589</v>
      </c>
      <c r="P273" s="156">
        <f t="shared" ca="1" si="85"/>
        <v>81.123209169054448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165200</v>
      </c>
      <c r="M275" s="169">
        <f ca="1">IFERROR(__xludf.DUMMYFUNCTION("IMPORTRANGE(""https://docs.google.com/spreadsheets/d/1Yj_ptqi66GCucihVvJfMjLAmec39IyEx_6qawtMGysU/edit?usp=sharing"",""สบก!CK63"")"),87250)</f>
        <v>87250</v>
      </c>
      <c r="N275" s="170">
        <f ca="1">IFERROR(__xludf.DUMMYFUNCTION("IMPORTRANGE(""https://docs.google.com/spreadsheets/d/1Yj_ptqi66GCucihVvJfMjLAmec39IyEx_6qawtMGysU/edit?usp=sharing"",""สบก!CL63"")"),70780)</f>
        <v>70780</v>
      </c>
      <c r="O275" s="170">
        <f ca="1">IF(L275&gt;0,N275*100/L275,0)</f>
        <v>42.845036319612589</v>
      </c>
      <c r="P275" s="170">
        <f ca="1">IF(M275&gt;0,N275*100/M275,0)</f>
        <v>81.123209169054448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IFERROR(__xludf.DUMMYFUNCTION("IMPORTRANGE(""https://docs.google.com/spreadsheets/d/1Yj_ptqi66GCucihVvJfMjLAmec39IyEx_6qawtMGysU/edit?usp=sharing"",""สบก!CG63"")"),0)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IFERROR(__xludf.DUMMYFUNCTION("IMPORTRANGE(""https://docs.google.com/spreadsheets/d/1Yj_ptqi66GCucihVvJfMjLAmec39IyEx_6qawtMGysU/edit?usp=sharing"",""สบก!CH63"")"),165200)</f>
        <v>165200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IFERROR(__xludf.DUMMYFUNCTION("IMPORTRANGE(""https://docs.google.com/spreadsheets/d/1SX6NBoVAgQJ6U1MVXOaj8PK2l7WJ3RER9xtqwdhxkhw/edit?usp=sharing"",""ชัยนาท!J191"")"),1)</f>
        <v>1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IFERROR(__xludf.DUMMYFUNCTION("IMPORTRANGE(""https://docs.google.com/spreadsheets/d/1SX6NBoVAgQJ6U1MVXOaj8PK2l7WJ3RER9xtqwdhxkhw/edit?usp=sharing"",""ชัยนาท!J192"")"),0)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IFERROR(__xludf.DUMMYFUNCTION("IMPORTRANGE(""https://docs.google.com/spreadsheets/d/1SX6NBoVAgQJ6U1MVXOaj8PK2l7WJ3RER9xtqwdhxkhw/edit?usp=sharing"",""ชัยนาท!J193"")"),0)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IFERROR(__xludf.DUMMYFUNCTION("IMPORTRANGE(""https://docs.google.com/spreadsheets/d/1SX6NBoVAgQJ6U1MVXOaj8PK2l7WJ3RER9xtqwdhxkhw/edit?usp=sharing"",""ชัยนาท!J194"")"),0)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IFERROR(__xludf.DUMMYFUNCTION("IMPORTRANGE(""https://docs.google.com/spreadsheets/d/1SX6NBoVAgQJ6U1MVXOaj8PK2l7WJ3RER9xtqwdhxkhw/edit?usp=sharing"",""ชัยนาท!I195"")"),15)</f>
        <v>15</v>
      </c>
      <c r="J285" s="190">
        <f ca="1">IFERROR(__xludf.DUMMYFUNCTION("IMPORTRANGE(""https://docs.google.com/spreadsheets/d/1SX6NBoVAgQJ6U1MVXOaj8PK2l7WJ3RER9xtqwdhxkhw/edit?usp=sharing"",""ชัยนาท!J195"")"),15)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IFERROR(__xludf.DUMMYFUNCTION("IMPORTRANGE(""https://docs.google.com/spreadsheets/d/1SX6NBoVAgQJ6U1MVXOaj8PK2l7WJ3RER9xtqwdhxkhw/edit?usp=sharing"",""ชัยนาท!J196"")"),0)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IFERROR(__xludf.DUMMYFUNCTION("IMPORTRANGE(""https://docs.google.com/spreadsheets/d/1SX6NBoVAgQJ6U1MVXOaj8PK2l7WJ3RER9xtqwdhxkhw/edit?usp=sharing"",""ชัยนาท!J197"")"),0)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IFERROR(__xludf.DUMMYFUNCTION("IMPORTRANGE(""https://docs.google.com/spreadsheets/d/1SX6NBoVAgQJ6U1MVXOaj8PK2l7WJ3RER9xtqwdhxkhw/edit?usp=sharing"",""ชัยนาท!I199"")"),0)</f>
        <v>0</v>
      </c>
      <c r="J289" s="316">
        <f ca="1">IFERROR(__xludf.DUMMYFUNCTION("IMPORTRANGE(""https://docs.google.com/spreadsheets/d/1SX6NBoVAgQJ6U1MVXOaj8PK2l7WJ3RER9xtqwdhxkhw/edit?usp=sharing"",""ชัยนาท!J199"")"),0)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IFERROR(__xludf.DUMMYFUNCTION("IMPORTRANGE(""https://docs.google.com/spreadsheets/d/1Yj_ptqi66GCucihVvJfMjLAmec39IyEx_6qawtMGysU/edit?usp=sharing"",""สบก!CT63"")"),0)</f>
        <v>0</v>
      </c>
      <c r="N294" s="170">
        <f ca="1">IFERROR(__xludf.DUMMYFUNCTION("IMPORTRANGE(""https://docs.google.com/spreadsheets/d/1Yj_ptqi66GCucihVvJfMjLAmec39IyEx_6qawtMGysU/edit?usp=sharing"",""สบก!CU63"")"),0)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IFERROR(__xludf.DUMMYFUNCTION("IMPORTRANGE(""https://docs.google.com/spreadsheets/d/1Yj_ptqi66GCucihVvJfMjLAmec39IyEx_6qawtMGysU/edit?usp=sharing"",""สบก!CP63"")"),0)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IFERROR(__xludf.DUMMYFUNCTION("IMPORTRANGE(""https://docs.google.com/spreadsheets/d/1Yj_ptqi66GCucihVvJfMjLAmec39IyEx_6qawtMGysU/edit?usp=sharing"",""สบก!CQ63"")"),0)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IFERROR(__xludf.DUMMYFUNCTION("IMPORTRANGE(""https://docs.google.com/spreadsheets/d/1SX6NBoVAgQJ6U1MVXOaj8PK2l7WJ3RER9xtqwdhxkhw/edit?usp=sharing"",""ชัยนาท!I209"")"),0)</f>
        <v>0</v>
      </c>
      <c r="J304" s="205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IFERROR(__xludf.DUMMYFUNCTION("IMPORTRANGE(""https://docs.google.com/spreadsheets/d/1SX6NBoVAgQJ6U1MVXOaj8PK2l7WJ3RER9xtqwdhxkhw/edit?usp=sharing"",""ชัยนาท!I211"")"),0)</f>
        <v>0</v>
      </c>
      <c r="J306" s="205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IFERROR(__xludf.DUMMYFUNCTION("IMPORTRANGE(""https://docs.google.com/spreadsheets/d/1SX6NBoVAgQJ6U1MVXOaj8PK2l7WJ3RER9xtqwdhxkhw/edit?usp=sharing"",""ชัยนาท!I214"")"),0)</f>
        <v>0</v>
      </c>
      <c r="J309" s="333">
        <f ca="1">IFERROR(__xludf.DUMMYFUNCTION("IMPORTRANGE(""https://docs.google.com/spreadsheets/d/1SX6NBoVAgQJ6U1MVXOaj8PK2l7WJ3RER9xtqwdhxkhw/edit?usp=sharing"",""ชัยนาท!J214"")"),0)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IFERROR(__xludf.DUMMYFUNCTION("IMPORTRANGE(""https://docs.google.com/spreadsheets/d/1Yj_ptqi66GCucihVvJfMjLAmec39IyEx_6qawtMGysU/edit?usp=sharing"",""สบก!DC63"")"),0)</f>
        <v>0</v>
      </c>
      <c r="N314" s="170">
        <f ca="1">IFERROR(__xludf.DUMMYFUNCTION("IMPORTRANGE(""https://docs.google.com/spreadsheets/d/1Yj_ptqi66GCucihVvJfMjLAmec39IyEx_6qawtMGysU/edit?usp=sharing"",""สบก!DD63"")"),0)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IFERROR(__xludf.DUMMYFUNCTION("IMPORTRANGE(""https://docs.google.com/spreadsheets/d/1Yj_ptqi66GCucihVvJfMjLAmec39IyEx_6qawtMGysU/edit?usp=sharing"",""สบก!CY63"")"),0)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IFERROR(__xludf.DUMMYFUNCTION("IMPORTRANGE(""https://docs.google.com/spreadsheets/d/1Yj_ptqi66GCucihVvJfMjLAmec39IyEx_6qawtMGysU/edit?usp=sharing"",""สบก!CZ63"")"),0)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IFERROR(__xludf.DUMMYFUNCTION("IMPORTRANGE(""https://docs.google.com/spreadsheets/d/1SX6NBoVAgQJ6U1MVXOaj8PK2l7WJ3RER9xtqwdhxkhw/edit?usp=sharing"",""ชัยนาท!I224"")"),0)</f>
        <v>0</v>
      </c>
      <c r="J324" s="205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IFERROR(__xludf.DUMMYFUNCTION("IMPORTRANGE(""https://docs.google.com/spreadsheets/d/1SX6NBoVAgQJ6U1MVXOaj8PK2l7WJ3RER9xtqwdhxkhw/edit?usp=sharing"",""ชัยนาท!I228"")"),27)</f>
        <v>27</v>
      </c>
      <c r="J328" s="339">
        <f ca="1">IFERROR(__xludf.DUMMYFUNCTION("IMPORTRANGE(""https://docs.google.com/spreadsheets/d/1SX6NBoVAgQJ6U1MVXOaj8PK2l7WJ3RER9xtqwdhxkhw/edit?usp=sharing"",""ชัยนาท!J228"")"),10)</f>
        <v>10</v>
      </c>
      <c r="K328" s="317">
        <f ca="1">IF(I328&gt;0,J328*100/I328,0)</f>
        <v>37.037037037037038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647730</v>
      </c>
      <c r="M329" s="152">
        <f t="shared" ca="1" si="98"/>
        <v>395930</v>
      </c>
      <c r="N329" s="152">
        <f t="shared" ca="1" si="98"/>
        <v>385380</v>
      </c>
      <c r="O329" s="151">
        <f t="shared" ref="O329:O331" ca="1" si="99">IF(L329&gt;0,N329*100/L329,0)</f>
        <v>59.497012644157287</v>
      </c>
      <c r="P329" s="151">
        <f t="shared" ref="P329:P331" ca="1" si="100">IF(M329&gt;0,N329*100/M329,0)</f>
        <v>97.335387568509589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647730</v>
      </c>
      <c r="M331" s="157">
        <f t="shared" ca="1" si="102"/>
        <v>395930</v>
      </c>
      <c r="N331" s="157">
        <f t="shared" ca="1" si="102"/>
        <v>385380</v>
      </c>
      <c r="O331" s="156">
        <f t="shared" ca="1" si="99"/>
        <v>59.497012644157287</v>
      </c>
      <c r="P331" s="156">
        <f t="shared" ca="1" si="100"/>
        <v>97.335387568509589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508730</v>
      </c>
      <c r="M333" s="169">
        <f ca="1">IFERROR(__xludf.DUMMYFUNCTION("IMPORTRANGE(""https://docs.google.com/spreadsheets/d/1Yj_ptqi66GCucihVvJfMjLAmec39IyEx_6qawtMGysU/edit?usp=sharing"",""สบก!DL63"")"),256930)</f>
        <v>256930</v>
      </c>
      <c r="N333" s="170">
        <f ca="1">IFERROR(__xludf.DUMMYFUNCTION("IMPORTRANGE(""https://docs.google.com/spreadsheets/d/1Yj_ptqi66GCucihVvJfMjLAmec39IyEx_6qawtMGysU/edit?usp=sharing"",""สบก!DM63"")"),246380)</f>
        <v>246380</v>
      </c>
      <c r="O333" s="170">
        <f ca="1">IF(L333&gt;0,N333*100/L333,0)</f>
        <v>48.430405126491458</v>
      </c>
      <c r="P333" s="170">
        <f ca="1">IF(M333&gt;0,N333*100/M333,0)</f>
        <v>95.893823220332379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IFERROR(__xludf.DUMMYFUNCTION("IMPORTRANGE(""https://docs.google.com/spreadsheets/d/1Yj_ptqi66GCucihVvJfMjLAmec39IyEx_6qawtMGysU/edit?usp=sharing"",""สบก!DH63"")"),306000)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IFERROR(__xludf.DUMMYFUNCTION("IMPORTRANGE(""https://docs.google.com/spreadsheets/d/1Yj_ptqi66GCucihVvJfMjLAmec39IyEx_6qawtMGysU/edit?usp=sharing"",""สบก!DI63"")"),202730)</f>
        <v>202730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IFERROR(__xludf.DUMMYFUNCTION("IMPORTRANGE(""https://docs.google.com/spreadsheets/d/1Yj_ptqi66GCucihVvJfMjLAmec39IyEx_6qawtMGysU/edit?usp=sharing"",""สบก!DJ63"")"),139000)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IFERROR(__xludf.DUMMYFUNCTION("IMPORTRANGE(""https://docs.google.com/spreadsheets/d/1SX6NBoVAgQJ6U1MVXOaj8PK2l7WJ3RER9xtqwdhxkhw/edit?usp=sharing"",""ชัยนาท!I234"")"),0)</f>
        <v>0</v>
      </c>
      <c r="J339" s="189">
        <f ca="1">IFERROR(__xludf.DUMMYFUNCTION("IMPORTRANGE(""https://docs.google.com/spreadsheets/d/1SX6NBoVAgQJ6U1MVXOaj8PK2l7WJ3RER9xtqwdhxkhw/edit?usp=sharing"",""ชัยนาท!J234"")"),10)</f>
        <v>10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IFERROR(__xludf.DUMMYFUNCTION("IMPORTRANGE(""https://docs.google.com/spreadsheets/d/1SX6NBoVAgQJ6U1MVXOaj8PK2l7WJ3RER9xtqwdhxkhw/edit?usp=sharing"",""ชัยนาท!I235"")"),144)</f>
        <v>144</v>
      </c>
      <c r="J340" s="189">
        <f ca="1">IFERROR(__xludf.DUMMYFUNCTION("IMPORTRANGE(""https://docs.google.com/spreadsheets/d/1SX6NBoVAgQJ6U1MVXOaj8PK2l7WJ3RER9xtqwdhxkhw/edit?usp=sharing"",""ชัยนาท!J235"")"),118.19)</f>
        <v>118.19</v>
      </c>
      <c r="K340" s="342">
        <f t="shared" ca="1" si="103"/>
        <v>82.076388888888886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IFERROR(__xludf.DUMMYFUNCTION("IMPORTRANGE(""https://docs.google.com/spreadsheets/d/1SX6NBoVAgQJ6U1MVXOaj8PK2l7WJ3RER9xtqwdhxkhw/edit?usp=sharing"",""ชัยนาท!I236"")"),27)</f>
        <v>27</v>
      </c>
      <c r="J341" s="189">
        <f ca="1">IFERROR(__xludf.DUMMYFUNCTION("IMPORTRANGE(""https://docs.google.com/spreadsheets/d/1SX6NBoVAgQJ6U1MVXOaj8PK2l7WJ3RER9xtqwdhxkhw/edit?usp=sharing"",""ชัยนาท!J236"")"),10)</f>
        <v>10</v>
      </c>
      <c r="K341" s="342">
        <f t="shared" ca="1" si="103"/>
        <v>37.037037037037038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9">
        <f ca="1">IFERROR(__xludf.DUMMYFUNCTION("IMPORTRANGE(""https://docs.google.com/spreadsheets/d/1SX6NBoVAgQJ6U1MVXOaj8PK2l7WJ3RER9xtqwdhxkhw/edit?usp=sharing"",""ชัยนาท!J237"")"),118.19)</f>
        <v>118.19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IFERROR(__xludf.DUMMYFUNCTION("IMPORTRANGE(""https://docs.google.com/spreadsheets/d/1SX6NBoVAgQJ6U1MVXOaj8PK2l7WJ3RER9xtqwdhxkhw/edit?usp=sharing"",""ชัยนาท!I238"")"),27)</f>
        <v>27</v>
      </c>
      <c r="J343" s="189">
        <f ca="1">IFERROR(__xludf.DUMMYFUNCTION("IMPORTRANGE(""https://docs.google.com/spreadsheets/d/1SX6NBoVAgQJ6U1MVXOaj8PK2l7WJ3RER9xtqwdhxkhw/edit?usp=sharing"",""ชัยนาท!J238"")"),0)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9">
        <f ca="1">IFERROR(__xludf.DUMMYFUNCTION("IMPORTRANGE(""https://docs.google.com/spreadsheets/d/1SX6NBoVAgQJ6U1MVXOaj8PK2l7WJ3RER9xtqwdhxkhw/edit?usp=sharing"",""ชัยนาท!J239"")"),0)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IFERROR(__xludf.DUMMYFUNCTION("IMPORTRANGE(""https://docs.google.com/spreadsheets/d/1SX6NBoVAgQJ6U1MVXOaj8PK2l7WJ3RER9xtqwdhxkhw/edit?usp=sharing"",""ชัยนาท!I240"")"),27)</f>
        <v>27</v>
      </c>
      <c r="J345" s="189">
        <f ca="1">IFERROR(__xludf.DUMMYFUNCTION("IMPORTRANGE(""https://docs.google.com/spreadsheets/d/1SX6NBoVAgQJ6U1MVXOaj8PK2l7WJ3RER9xtqwdhxkhw/edit?usp=sharing"",""ชัยนาท!J240"")"),10)</f>
        <v>10</v>
      </c>
      <c r="K345" s="342">
        <f t="shared" ca="1" si="103"/>
        <v>37.037037037037038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9">
        <f ca="1">IFERROR(__xludf.DUMMYFUNCTION("IMPORTRANGE(""https://docs.google.com/spreadsheets/d/1SX6NBoVAgQJ6U1MVXOaj8PK2l7WJ3RER9xtqwdhxkhw/edit?usp=sharing"",""ชัยนาท!J241"")"),118.19)</f>
        <v>118.19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IFERROR(__xludf.DUMMYFUNCTION("IMPORTRANGE(""https://docs.google.com/spreadsheets/d/1SX6NBoVAgQJ6U1MVXOaj8PK2l7WJ3RER9xtqwdhxkhw/edit?usp=sharing"",""ชัยนาท!L242"")"),833674)</f>
        <v>833674</v>
      </c>
      <c r="M347" s="358"/>
      <c r="N347" s="358">
        <f ca="1">IFERROR(__xludf.DUMMYFUNCTION("IMPORTRANGE(""https://docs.google.com/spreadsheets/d/1SX6NBoVAgQJ6U1MVXOaj8PK2l7WJ3RER9xtqwdhxkhw/edit?usp=sharing"",""ชัยนาท!M242"")"),423475)</f>
        <v>423475</v>
      </c>
      <c r="O347" s="358">
        <f ca="1">+IF(L347&gt;0,N347*100/L347,0)</f>
        <v>50.79623449933667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IFERROR(__xludf.DUMMYFUNCTION("IMPORTRANGE(""https://docs.google.com/spreadsheets/d/1SX6NBoVAgQJ6U1MVXOaj8PK2l7WJ3RER9xtqwdhxkhw/edit?usp=sharing"",""ชัยนาท!M244"")"),18515)</f>
        <v>18515</v>
      </c>
      <c r="O349" s="373">
        <f ca="1">+IF(L349&gt;0,N349*100/L349,0)</f>
        <v>37.238535800482701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IFERROR(__xludf.DUMMYFUNCTION("IMPORTRANGE(""https://docs.google.com/spreadsheets/d/1SX6NBoVAgQJ6U1MVXOaj8PK2l7WJ3RER9xtqwdhxkhw/edit?usp=sharing"",""ชัยนาท!L246"")"),0)</f>
        <v>0</v>
      </c>
      <c r="M351" s="166"/>
      <c r="N351" s="166">
        <f ca="1">IFERROR(__xludf.DUMMYFUNCTION("IMPORTRANGE(""https://docs.google.com/spreadsheets/d/1SX6NBoVAgQJ6U1MVXOaj8PK2l7WJ3RER9xtqwdhxkhw/edit?usp=sharing"",""ชัยนาท!M246"")"),0)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IFERROR(__xludf.DUMMYFUNCTION("IMPORTRANGE(""https://docs.google.com/spreadsheets/d/1SX6NBoVAgQJ6U1MVXOaj8PK2l7WJ3RER9xtqwdhxkhw/edit?usp=sharing"",""ชัยนาท!L247"")"),49720)</f>
        <v>49720</v>
      </c>
      <c r="M352" s="167"/>
      <c r="N352" s="166">
        <f ca="1">IFERROR(__xludf.DUMMYFUNCTION("IMPORTRANGE(""https://docs.google.com/spreadsheets/d/1SX6NBoVAgQJ6U1MVXOaj8PK2l7WJ3RER9xtqwdhxkhw/edit?usp=sharing"",""ชัยนาท!M247"")"),18515)</f>
        <v>18515</v>
      </c>
      <c r="O352" s="167">
        <f t="shared" ca="1" si="105"/>
        <v>37.238535800482701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IFERROR(__xludf.DUMMYFUNCTION("IMPORTRANGE(""https://docs.google.com/spreadsheets/d/1SX6NBoVAgQJ6U1MVXOaj8PK2l7WJ3RER9xtqwdhxkhw/edit?usp=sharing"",""ชัยนาท!L248"")"),0)</f>
        <v>0</v>
      </c>
      <c r="M353" s="170"/>
      <c r="N353" s="170">
        <f ca="1">IFERROR(__xludf.DUMMYFUNCTION("IMPORTRANGE(""https://docs.google.com/spreadsheets/d/1SX6NBoVAgQJ6U1MVXOaj8PK2l7WJ3RER9xtqwdhxkhw/edit?usp=sharing"",""ชัยนาท!M248"")"),0)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IFERROR(__xludf.DUMMYFUNCTION("IMPORTRANGE(""https://docs.google.com/spreadsheets/d/1SX6NBoVAgQJ6U1MVXOaj8PK2l7WJ3RER9xtqwdhxkhw/edit?usp=sharing"",""ชัยนาท!L249"")"),49720)</f>
        <v>49720</v>
      </c>
      <c r="M354" s="170"/>
      <c r="N354" s="169">
        <f ca="1">IFERROR(__xludf.DUMMYFUNCTION("IMPORTRANGE(""https://docs.google.com/spreadsheets/d/1SX6NBoVAgQJ6U1MVXOaj8PK2l7WJ3RER9xtqwdhxkhw/edit?usp=sharing"",""ชัยนาท!M249"")"),18515)</f>
        <v>18515</v>
      </c>
      <c r="O354" s="170">
        <f t="shared" ca="1" si="105"/>
        <v>37.238535800482701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IFERROR(__xludf.DUMMYFUNCTION("IMPORTRANGE(""https://docs.google.com/spreadsheets/d/1SX6NBoVAgQJ6U1MVXOaj8PK2l7WJ3RER9xtqwdhxkhw/edit?usp=sharing"",""ชัยนาท!M251"")"),1220)</f>
        <v>1220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IFERROR(__xludf.DUMMYFUNCTION("IMPORTRANGE(""https://docs.google.com/spreadsheets/d/1SX6NBoVAgQJ6U1MVXOaj8PK2l7WJ3RER9xtqwdhxkhw/edit?usp=sharing"",""ชัยนาท!M253"")"),1095)</f>
        <v>1095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IFERROR(__xludf.DUMMYFUNCTION("IMPORTRANGE(""https://docs.google.com/spreadsheets/d/1SX6NBoVAgQJ6U1MVXOaj8PK2l7WJ3RER9xtqwdhxkhw/edit?usp=sharing"",""ชัยนาท!J255"")"),0)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IFERROR(__xludf.DUMMYFUNCTION("IMPORTRANGE(""https://docs.google.com/spreadsheets/d/1SX6NBoVAgQJ6U1MVXOaj8PK2l7WJ3RER9xtqwdhxkhw/edit?usp=sharing"",""ชัยนาท!J256"")"),1)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IFERROR(__xludf.DUMMYFUNCTION("IMPORTRANGE(""https://docs.google.com/spreadsheets/d/1SX6NBoVAgQJ6U1MVXOaj8PK2l7WJ3RER9xtqwdhxkhw/edit?usp=sharing"",""ชัยนาท!J257"")"),1)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IFERROR(__xludf.DUMMYFUNCTION("IMPORTRANGE(""https://docs.google.com/spreadsheets/d/1SX6NBoVAgQJ6U1MVXOaj8PK2l7WJ3RER9xtqwdhxkhw/edit?usp=sharing"",""ชัยนาท!J258"")"),0)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IFERROR(__xludf.DUMMYFUNCTION("IMPORTRANGE(""https://docs.google.com/spreadsheets/d/1SX6NBoVAgQJ6U1MVXOaj8PK2l7WJ3RER9xtqwdhxkhw/edit?usp=sharing"",""ชัยนาท!J166"")"),0)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IFERROR(__xludf.DUMMYFUNCTION("IMPORTRANGE(""https://docs.google.com/spreadsheets/d/1SX6NBoVAgQJ6U1MVXOaj8PK2l7WJ3RER9xtqwdhxkhw/edit?usp=sharing"",""ชัยนาท!J166"")"),0)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IFERROR(__xludf.DUMMYFUNCTION("IMPORTRANGE(""https://docs.google.com/spreadsheets/d/1SX6NBoVAgQJ6U1MVXOaj8PK2l7WJ3RER9xtqwdhxkhw/edit?usp=sharing"",""ชัยนาท!J166"")"),0)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IFERROR(__xludf.DUMMYFUNCTION("IMPORTRANGE(""https://docs.google.com/spreadsheets/d/1SX6NBoVAgQJ6U1MVXOaj8PK2l7WJ3RER9xtqwdhxkhw/edit?usp=sharing"",""ชัยนาท!J166"")"),0)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IFERROR(__xludf.DUMMYFUNCTION("IMPORTRANGE(""https://docs.google.com/spreadsheets/d/1SX6NBoVAgQJ6U1MVXOaj8PK2l7WJ3RER9xtqwdhxkhw/edit?usp=sharing"",""ชัยนาท!I263"")"),10)</f>
        <v>10</v>
      </c>
      <c r="J368" s="189">
        <f ca="1">IFERROR(__xludf.DUMMYFUNCTION("IMPORTRANGE(""https://docs.google.com/spreadsheets/d/1SX6NBoVAgQJ6U1MVXOaj8PK2l7WJ3RER9xtqwdhxkhw/edit?usp=sharing"",""ชัยนาท!J263"")"),0)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IFERROR(__xludf.DUMMYFUNCTION("IMPORTRANGE(""https://docs.google.com/spreadsheets/d/1SX6NBoVAgQJ6U1MVXOaj8PK2l7WJ3RER9xtqwdhxkhw/edit?usp=sharing"",""ชัยนาท!I164"")"),0)</f>
        <v>0</v>
      </c>
      <c r="J369" s="205">
        <f ca="1">IFERROR(__xludf.DUMMYFUNCTION("IMPORTRANGE(""https://docs.google.com/spreadsheets/d/1SX6NBoVAgQJ6U1MVXOaj8PK2l7WJ3RER9xtqwdhxkhw/edit?usp=sharing"",""ชัยนาท!J164"")"),0)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IFERROR(__xludf.DUMMYFUNCTION("IMPORTRANGE(""https://docs.google.com/spreadsheets/d/1SX6NBoVAgQJ6U1MVXOaj8PK2l7WJ3RER9xtqwdhxkhw/edit?usp=sharing"",""ชัยนาท!I265"")"),10)</f>
        <v>10</v>
      </c>
      <c r="J370" s="205">
        <f ca="1">IFERROR(__xludf.DUMMYFUNCTION("IMPORTRANGE(""https://docs.google.com/spreadsheets/d/1SX6NBoVAgQJ6U1MVXOaj8PK2l7WJ3RER9xtqwdhxkhw/edit?usp=sharing"",""ชัยนาท!J265"")"),10)</f>
        <v>10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IFERROR(__xludf.DUMMYFUNCTION("IMPORTRANGE(""https://docs.google.com/spreadsheets/d/1SX6NBoVAgQJ6U1MVXOaj8PK2l7WJ3RER9xtqwdhxkhw/edit?usp=sharing"",""ชัยนาท!I164"")"),0)</f>
        <v>0</v>
      </c>
      <c r="J371" s="190">
        <f ca="1">IFERROR(__xludf.DUMMYFUNCTION("IMPORTRANGE(""https://docs.google.com/spreadsheets/d/1SX6NBoVAgQJ6U1MVXOaj8PK2l7WJ3RER9xtqwdhxkhw/edit?usp=sharing"",""ชัยนาท!J164"")"),0)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IFERROR(__xludf.DUMMYFUNCTION("IMPORTRANGE(""https://docs.google.com/spreadsheets/d/1SX6NBoVAgQJ6U1MVXOaj8PK2l7WJ3RER9xtqwdhxkhw/edit?usp=sharing"",""ชัยนาท!I267"")"),10)</f>
        <v>10</v>
      </c>
      <c r="J372" s="190">
        <f ca="1">IFERROR(__xludf.DUMMYFUNCTION("IMPORTRANGE(""https://docs.google.com/spreadsheets/d/1SX6NBoVAgQJ6U1MVXOaj8PK2l7WJ3RER9xtqwdhxkhw/edit?usp=sharing"",""ชัยนาท!J267"")"),0)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IFERROR(__xludf.DUMMYFUNCTION("IMPORTRANGE(""https://docs.google.com/spreadsheets/d/1SX6NBoVAgQJ6U1MVXOaj8PK2l7WJ3RER9xtqwdhxkhw/edit?usp=sharing"",""ชัยนาท!I164"")"),0)</f>
        <v>0</v>
      </c>
      <c r="J373" s="205">
        <f ca="1">IFERROR(__xludf.DUMMYFUNCTION("IMPORTRANGE(""https://docs.google.com/spreadsheets/d/1SX6NBoVAgQJ6U1MVXOaj8PK2l7WJ3RER9xtqwdhxkhw/edit?usp=sharing"",""ชัยนาท!J164"")"),0)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IFERROR(__xludf.DUMMYFUNCTION("IMPORTRANGE(""https://docs.google.com/spreadsheets/d/1SX6NBoVAgQJ6U1MVXOaj8PK2l7WJ3RER9xtqwdhxkhw/edit?usp=sharing"",""ชัยนาท!I164"")"),0)</f>
        <v>0</v>
      </c>
      <c r="J374" s="189">
        <f ca="1">IFERROR(__xludf.DUMMYFUNCTION("IMPORTRANGE(""https://docs.google.com/spreadsheets/d/1SX6NBoVAgQJ6U1MVXOaj8PK2l7WJ3RER9xtqwdhxkhw/edit?usp=sharing"",""ชัยนาท!J164"")"),0)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IFERROR(__xludf.DUMMYFUNCTION("IMPORTRANGE(""https://docs.google.com/spreadsheets/d/1SX6NBoVAgQJ6U1MVXOaj8PK2l7WJ3RER9xtqwdhxkhw/edit?usp=sharing"",""ชัยนาท!I270"")"),10)</f>
        <v>10</v>
      </c>
      <c r="J375" s="189">
        <f ca="1">IFERROR(__xludf.DUMMYFUNCTION("IMPORTRANGE(""https://docs.google.com/spreadsheets/d/1SX6NBoVAgQJ6U1MVXOaj8PK2l7WJ3RER9xtqwdhxkhw/edit?usp=sharing"",""ชัยนาท!J270"")"),0)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IFERROR(__xludf.DUMMYFUNCTION("IMPORTRANGE(""https://docs.google.com/spreadsheets/d/1SX6NBoVAgQJ6U1MVXOaj8PK2l7WJ3RER9xtqwdhxkhw/edit?usp=sharing"",""ชัยนาท!I271"")"),10)</f>
        <v>10</v>
      </c>
      <c r="J376" s="190">
        <f ca="1">IFERROR(__xludf.DUMMYFUNCTION("IMPORTRANGE(""https://docs.google.com/spreadsheets/d/1SX6NBoVAgQJ6U1MVXOaj8PK2l7WJ3RER9xtqwdhxkhw/edit?usp=sharing"",""ชัยนาท!J271"")"),0)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IFERROR(__xludf.DUMMYFUNCTION("IMPORTRANGE(""https://docs.google.com/spreadsheets/d/1SX6NBoVAgQJ6U1MVXOaj8PK2l7WJ3RER9xtqwdhxkhw/edit?usp=sharing"",""ชัยนาท!I272"")"),0)</f>
        <v>0</v>
      </c>
      <c r="J377" s="205">
        <f ca="1">IFERROR(__xludf.DUMMYFUNCTION("IMPORTRANGE(""https://docs.google.com/spreadsheets/d/1SX6NBoVAgQJ6U1MVXOaj8PK2l7WJ3RER9xtqwdhxkhw/edit?usp=sharing"",""ชัยนาท!J272"")"),0)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IFERROR(__xludf.DUMMYFUNCTION("IMPORTRANGE(""https://docs.google.com/spreadsheets/d/1SX6NBoVAgQJ6U1MVXOaj8PK2l7WJ3RER9xtqwdhxkhw/edit?usp=sharing"",""ชัยนาท!J273"")"),0)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IFERROR(__xludf.DUMMYFUNCTION("IMPORTRANGE(""https://docs.google.com/spreadsheets/d/1SX6NBoVAgQJ6U1MVXOaj8PK2l7WJ3RER9xtqwdhxkhw/edit?usp=sharing"",""ชัยนาท!J274"")"),0)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IFERROR(__xludf.DUMMYFUNCTION("IMPORTRANGE(""https://docs.google.com/spreadsheets/d/1SX6NBoVAgQJ6U1MVXOaj8PK2l7WJ3RER9xtqwdhxkhw/edit?usp=sharing"",""ชัยนาท!M275"")"),72090)</f>
        <v>72090</v>
      </c>
      <c r="O380" s="373">
        <f ca="1">+IF(L380&gt;0,N380*100/L380,0)</f>
        <v>34.732125650414339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IFERROR(__xludf.DUMMYFUNCTION("IMPORTRANGE(""https://docs.google.com/spreadsheets/d/1SX6NBoVAgQJ6U1MVXOaj8PK2l7WJ3RER9xtqwdhxkhw/edit?usp=sharing"",""ชัยนาท!L277"")"),0)</f>
        <v>0</v>
      </c>
      <c r="M382" s="166"/>
      <c r="N382" s="166">
        <f ca="1">IFERROR(__xludf.DUMMYFUNCTION("IMPORTRANGE(""https://docs.google.com/spreadsheets/d/1SX6NBoVAgQJ6U1MVXOaj8PK2l7WJ3RER9xtqwdhxkhw/edit?usp=sharing"",""ชัยนาท!M277"")"),0)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IFERROR(__xludf.DUMMYFUNCTION("IMPORTRANGE(""https://docs.google.com/spreadsheets/d/1SX6NBoVAgQJ6U1MVXOaj8PK2l7WJ3RER9xtqwdhxkhw/edit?usp=sharing"",""ชัยนาท!L278"")"),207560)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IFERROR(__xludf.DUMMYFUNCTION("IMPORTRANGE(""https://docs.google.com/spreadsheets/d/1SX6NBoVAgQJ6U1MVXOaj8PK2l7WJ3RER9xtqwdhxkhw/edit?usp=sharing"",""ชัยนาท!M278"")"),72090)</f>
        <v>72090</v>
      </c>
      <c r="O383" s="167">
        <f t="shared" ca="1" si="109"/>
        <v>34.732125650414339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IFERROR(__xludf.DUMMYFUNCTION("IMPORTRANGE(""https://docs.google.com/spreadsheets/d/1SX6NBoVAgQJ6U1MVXOaj8PK2l7WJ3RER9xtqwdhxkhw/edit?usp=sharing"",""ชัยนาท!L279"")"),0)</f>
        <v>0</v>
      </c>
      <c r="M384" s="170"/>
      <c r="N384" s="170">
        <f ca="1">IFERROR(__xludf.DUMMYFUNCTION("IMPORTRANGE(""https://docs.google.com/spreadsheets/d/1SX6NBoVAgQJ6U1MVXOaj8PK2l7WJ3RER9xtqwdhxkhw/edit?usp=sharing"",""ชัยนาท!M279"")"),0)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IFERROR(__xludf.DUMMYFUNCTION("IMPORTRANGE(""https://docs.google.com/spreadsheets/d/1SX6NBoVAgQJ6U1MVXOaj8PK2l7WJ3RER9xtqwdhxkhw/edit?usp=sharing"",""ชัยนาท!L280"")"),207560)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IFERROR(__xludf.DUMMYFUNCTION("IMPORTRANGE(""https://docs.google.com/spreadsheets/d/1SX6NBoVAgQJ6U1MVXOaj8PK2l7WJ3RER9xtqwdhxkhw/edit?usp=sharing"",""ชัยนาท!M280"")"),72090)</f>
        <v>72090</v>
      </c>
      <c r="O385" s="170">
        <f t="shared" ca="1" si="109"/>
        <v>34.732125650414339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IFERROR(__xludf.DUMMYFUNCTION("IMPORTRANGE(""https://docs.google.com/spreadsheets/d/1SX6NBoVAgQJ6U1MVXOaj8PK2l7WJ3RER9xtqwdhxkhw/edit?usp=sharing"",""ชัยนาท!M281"")"),54085)</f>
        <v>54085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IFERROR(__xludf.DUMMYFUNCTION("IMPORTRANGE(""https://docs.google.com/spreadsheets/d/1SX6NBoVAgQJ6U1MVXOaj8PK2l7WJ3RER9xtqwdhxkhw/edit?usp=sharing"",""ชัยนาท!M282"")"),0)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IFERROR(__xludf.DUMMYFUNCTION("IMPORTRANGE(""https://docs.google.com/spreadsheets/d/1SX6NBoVAgQJ6U1MVXOaj8PK2l7WJ3RER9xtqwdhxkhw/edit?usp=sharing"",""ชัยนาท!M284"")"),18005)</f>
        <v>18005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IFERROR(__xludf.DUMMYFUNCTION("IMPORTRANGE(""https://docs.google.com/spreadsheets/d/1SX6NBoVAgQJ6U1MVXOaj8PK2l7WJ3RER9xtqwdhxkhw/edit?usp=sharing"",""ชัยนาท!J286"")"),0)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IFERROR(__xludf.DUMMYFUNCTION("IMPORTRANGE(""https://docs.google.com/spreadsheets/d/1SX6NBoVAgQJ6U1MVXOaj8PK2l7WJ3RER9xtqwdhxkhw/edit?usp=sharing"",""ชัยนาท!J287"")"),1)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IFERROR(__xludf.DUMMYFUNCTION("IMPORTRANGE(""https://docs.google.com/spreadsheets/d/1SX6NBoVAgQJ6U1MVXOaj8PK2l7WJ3RER9xtqwdhxkhw/edit?usp=sharing"",""ชัยนาท!J288"")"),1)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IFERROR(__xludf.DUMMYFUNCTION("IMPORTRANGE(""https://docs.google.com/spreadsheets/d/1SX6NBoVAgQJ6U1MVXOaj8PK2l7WJ3RER9xtqwdhxkhw/edit?usp=sharing"",""ชัยนาท!J289"")"),0)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IFERROR(__xludf.DUMMYFUNCTION("IMPORTRANGE(""https://docs.google.com/spreadsheets/d/1SX6NBoVAgQJ6U1MVXOaj8PK2l7WJ3RER9xtqwdhxkhw/edit?usp=sharing"",""ชัยนาท!I291"")"),20)</f>
        <v>20</v>
      </c>
      <c r="J396" s="199">
        <f ca="1">IFERROR(__xludf.DUMMYFUNCTION("IMPORTRANGE(""https://docs.google.com/spreadsheets/d/1SX6NBoVAgQJ6U1MVXOaj8PK2l7WJ3RER9xtqwdhxkhw/edit?usp=sharing"",""ชัยนาท!J291"")"),20)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IFERROR(__xludf.DUMMYFUNCTION("IMPORTRANGE(""https://docs.google.com/spreadsheets/d/1SX6NBoVAgQJ6U1MVXOaj8PK2l7WJ3RER9xtqwdhxkhw/edit?usp=sharing"",""ชัยนาท!I292"")"),200)</f>
        <v>200</v>
      </c>
      <c r="J397" s="199">
        <f ca="1">IFERROR(__xludf.DUMMYFUNCTION("IMPORTRANGE(""https://docs.google.com/spreadsheets/d/1SX6NBoVAgQJ6U1MVXOaj8PK2l7WJ3RER9xtqwdhxkhw/edit?usp=sharing"",""ชัยนาท!J292"")"),0)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IFERROR(__xludf.DUMMYFUNCTION("IMPORTRANGE(""https://docs.google.com/spreadsheets/d/1SX6NBoVAgQJ6U1MVXOaj8PK2l7WJ3RER9xtqwdhxkhw/edit?usp=sharing"",""ชัยนาท!I293"")"),20)</f>
        <v>20</v>
      </c>
      <c r="J398" s="199">
        <f ca="1">IFERROR(__xludf.DUMMYFUNCTION("IMPORTRANGE(""https://docs.google.com/spreadsheets/d/1SX6NBoVAgQJ6U1MVXOaj8PK2l7WJ3RER9xtqwdhxkhw/edit?usp=sharing"",""ชัยนาท!J293"")"),0)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IFERROR(__xludf.DUMMYFUNCTION("IMPORTRANGE(""https://docs.google.com/spreadsheets/d/1SX6NBoVAgQJ6U1MVXOaj8PK2l7WJ3RER9xtqwdhxkhw/edit?usp=sharing"",""ชัยนาท!J294"")"),0)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IFERROR(__xludf.DUMMYFUNCTION("IMPORTRANGE(""https://docs.google.com/spreadsheets/d/1SX6NBoVAgQJ6U1MVXOaj8PK2l7WJ3RER9xtqwdhxkhw/edit?usp=sharing"",""ชัยนาท!J295"")"),0)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IFERROR(__xludf.DUMMYFUNCTION("IMPORTRANGE(""https://docs.google.com/spreadsheets/d/1SX6NBoVAgQJ6U1MVXOaj8PK2l7WJ3RER9xtqwdhxkhw/edit?usp=sharing"",""ชัยนาท!M296"")"),163625)</f>
        <v>163625</v>
      </c>
      <c r="O401" s="373">
        <f ca="1">+IF(L401&gt;0,N401*100/L401,0)</f>
        <v>72.231051074912813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IFERROR(__xludf.DUMMYFUNCTION("IMPORTRANGE(""https://docs.google.com/spreadsheets/d/1SX6NBoVAgQJ6U1MVXOaj8PK2l7WJ3RER9xtqwdhxkhw/edit?usp=sharing"",""ชัยนาท!J297"")"),55)</f>
        <v>55</v>
      </c>
      <c r="K402" s="372">
        <f t="shared" ca="1" si="111"/>
        <v>84.615384615384613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IFERROR(__xludf.DUMMYFUNCTION("IMPORTRANGE(""https://docs.google.com/spreadsheets/d/1SX6NBoVAgQJ6U1MVXOaj8PK2l7WJ3RER9xtqwdhxkhw/edit?usp=sharing"",""ชัยนาท!L298"")"),0)</f>
        <v>0</v>
      </c>
      <c r="M403" s="166"/>
      <c r="N403" s="170">
        <f ca="1">IFERROR(__xludf.DUMMYFUNCTION("IMPORTRANGE(""https://docs.google.com/spreadsheets/d/1SX6NBoVAgQJ6U1MVXOaj8PK2l7WJ3RER9xtqwdhxkhw/edit?usp=sharing"",""ชัยนาท!M298"")"),0)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IFERROR(__xludf.DUMMYFUNCTION("IMPORTRANGE(""https://docs.google.com/spreadsheets/d/1SX6NBoVAgQJ6U1MVXOaj8PK2l7WJ3RER9xtqwdhxkhw/edit?usp=sharing"",""ชัยนาท!L299"")"),226530)</f>
        <v>226530</v>
      </c>
      <c r="M404" s="167"/>
      <c r="N404" s="170">
        <f ca="1">IFERROR(__xludf.DUMMYFUNCTION("IMPORTRANGE(""https://docs.google.com/spreadsheets/d/1SX6NBoVAgQJ6U1MVXOaj8PK2l7WJ3RER9xtqwdhxkhw/edit?usp=sharing"",""ชัยนาท!M299"")"),163625)</f>
        <v>163625</v>
      </c>
      <c r="O404" s="170">
        <f t="shared" ca="1" si="112"/>
        <v>72.231051074912813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IFERROR(__xludf.DUMMYFUNCTION("IMPORTRANGE(""https://docs.google.com/spreadsheets/d/1SX6NBoVAgQJ6U1MVXOaj8PK2l7WJ3RER9xtqwdhxkhw/edit?usp=sharing"",""ชัยนาท!L300"")"),0)</f>
        <v>0</v>
      </c>
      <c r="M405" s="170"/>
      <c r="N405" s="170">
        <f ca="1">IFERROR(__xludf.DUMMYFUNCTION("IMPORTRANGE(""https://docs.google.com/spreadsheets/d/1SX6NBoVAgQJ6U1MVXOaj8PK2l7WJ3RER9xtqwdhxkhw/edit?usp=sharing"",""ชัยนาท!M300"")"),0)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IFERROR(__xludf.DUMMYFUNCTION("IMPORTRANGE(""https://docs.google.com/spreadsheets/d/1SX6NBoVAgQJ6U1MVXOaj8PK2l7WJ3RER9xtqwdhxkhw/edit?usp=sharing"",""ชัยนาท!L301"")"),226530)</f>
        <v>226530</v>
      </c>
      <c r="M406" s="170"/>
      <c r="N406" s="170">
        <f ca="1">IFERROR(__xludf.DUMMYFUNCTION("IMPORTRANGE(""https://docs.google.com/spreadsheets/d/1SX6NBoVAgQJ6U1MVXOaj8PK2l7WJ3RER9xtqwdhxkhw/edit?usp=sharing"",""ชัยนาท!M301"")"),163625)</f>
        <v>163625</v>
      </c>
      <c r="O406" s="170">
        <f t="shared" ca="1" si="112"/>
        <v>72.231051074912813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IFERROR(__xludf.DUMMYFUNCTION("IMPORTRANGE(""https://docs.google.com/spreadsheets/d/1SX6NBoVAgQJ6U1MVXOaj8PK2l7WJ3RER9xtqwdhxkhw/edit?usp=sharing"",""ชัยนาท!M302"")"),106820)</f>
        <v>106820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IFERROR(__xludf.DUMMYFUNCTION("IMPORTRANGE(""https://docs.google.com/spreadsheets/d/1SX6NBoVAgQJ6U1MVXOaj8PK2l7WJ3RER9xtqwdhxkhw/edit?usp=sharing"",""ชัยนาท!M303"")"),55000)</f>
        <v>55000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IFERROR(__xludf.DUMMYFUNCTION("IMPORTRANGE(""https://docs.google.com/spreadsheets/d/1SX6NBoVAgQJ6U1MVXOaj8PK2l7WJ3RER9xtqwdhxkhw/edit?usp=sharing"",""ชัยนาท!M305"")"),1805)</f>
        <v>1805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IFERROR(__xludf.DUMMYFUNCTION("IMPORTRANGE(""https://docs.google.com/spreadsheets/d/1SX6NBoVAgQJ6U1MVXOaj8PK2l7WJ3RER9xtqwdhxkhw/edit?usp=sharing"",""ชัยนาท!J307"")"),0)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IFERROR(__xludf.DUMMYFUNCTION("IMPORTRANGE(""https://docs.google.com/spreadsheets/d/1SX6NBoVAgQJ6U1MVXOaj8PK2l7WJ3RER9xtqwdhxkhw/edit?usp=sharing"",""ชัยนาท!J308"")"),1)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IFERROR(__xludf.DUMMYFUNCTION("IMPORTRANGE(""https://docs.google.com/spreadsheets/d/1SX6NBoVAgQJ6U1MVXOaj8PK2l7WJ3RER9xtqwdhxkhw/edit?usp=sharing"",""ชัยนาท!J309"")"),1)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IFERROR(__xludf.DUMMYFUNCTION("IMPORTRANGE(""https://docs.google.com/spreadsheets/d/1SX6NBoVAgQJ6U1MVXOaj8PK2l7WJ3RER9xtqwdhxkhw/edit?usp=sharing"",""ชัยนาท!J310"")"),0)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IFERROR(__xludf.DUMMYFUNCTION("IMPORTRANGE(""https://docs.google.com/spreadsheets/d/1SX6NBoVAgQJ6U1MVXOaj8PK2l7WJ3RER9xtqwdhxkhw/edit?usp=sharing"",""ชัยนาท!I311"")"),65)</f>
        <v>65</v>
      </c>
      <c r="J416" s="202">
        <f ca="1">IFERROR(__xludf.DUMMYFUNCTION("IMPORTRANGE(""https://docs.google.com/spreadsheets/d/1SX6NBoVAgQJ6U1MVXOaj8PK2l7WJ3RER9xtqwdhxkhw/edit?usp=sharing"",""ชัยนาท!J311"")"),55)</f>
        <v>55</v>
      </c>
      <c r="K416" s="203">
        <f t="shared" ref="K416:K432" ca="1" si="113">IF(I416&gt;0,J416*100/I416,0)</f>
        <v>84.615384615384613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IFERROR(__xludf.DUMMYFUNCTION("IMPORTRANGE(""https://docs.google.com/spreadsheets/d/1SX6NBoVAgQJ6U1MVXOaj8PK2l7WJ3RER9xtqwdhxkhw/edit?usp=sharing"",""ชัยนาท!J328"")"),0)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IFERROR(__xludf.DUMMYFUNCTION("IMPORTRANGE(""https://docs.google.com/spreadsheets/d/1SX6NBoVAgQJ6U1MVXOaj8PK2l7WJ3RER9xtqwdhxkhw/edit?usp=sharing"",""ชัยนาท!J329"")"),0)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IFERROR(__xludf.DUMMYFUNCTION("IMPORTRANGE(""https://docs.google.com/spreadsheets/d/1SX6NBoVAgQJ6U1MVXOaj8PK2l7WJ3RER9xtqwdhxkhw/edit?usp=sharing"",""ชัยนาท!M330"")"),58040)</f>
        <v>58040</v>
      </c>
      <c r="O435" s="412">
        <f t="shared" ref="O435:O439" ca="1" si="114">+IF(L435&gt;0,N435*100/L435,0)</f>
        <v>65.954545454545453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IFERROR(__xludf.DUMMYFUNCTION("IMPORTRANGE(""https://docs.google.com/spreadsheets/d/1SX6NBoVAgQJ6U1MVXOaj8PK2l7WJ3RER9xtqwdhxkhw/edit?usp=sharing"",""ชัยนาท!L331"")"),0)</f>
        <v>0</v>
      </c>
      <c r="M436" s="166"/>
      <c r="N436" s="170">
        <f ca="1">IFERROR(__xludf.DUMMYFUNCTION("IMPORTRANGE(""https://docs.google.com/spreadsheets/d/1SX6NBoVAgQJ6U1MVXOaj8PK2l7WJ3RER9xtqwdhxkhw/edit?usp=sharing"",""ชัยนาท!M331"")"),0)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IFERROR(__xludf.DUMMYFUNCTION("IMPORTRANGE(""https://docs.google.com/spreadsheets/d/1SX6NBoVAgQJ6U1MVXOaj8PK2l7WJ3RER9xtqwdhxkhw/edit?usp=sharing"",""ชัยนาท!L332"")"),88000)</f>
        <v>88000</v>
      </c>
      <c r="M437" s="167"/>
      <c r="N437" s="170">
        <f ca="1">IFERROR(__xludf.DUMMYFUNCTION("IMPORTRANGE(""https://docs.google.com/spreadsheets/d/1SX6NBoVAgQJ6U1MVXOaj8PK2l7WJ3RER9xtqwdhxkhw/edit?usp=sharing"",""ชัยนาท!M332"")"),58040)</f>
        <v>58040</v>
      </c>
      <c r="O437" s="170">
        <f t="shared" ca="1" si="114"/>
        <v>65.954545454545453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IFERROR(__xludf.DUMMYFUNCTION("IMPORTRANGE(""https://docs.google.com/spreadsheets/d/1SX6NBoVAgQJ6U1MVXOaj8PK2l7WJ3RER9xtqwdhxkhw/edit?usp=sharing"",""ชัยนาท!L333"")"),0)</f>
        <v>0</v>
      </c>
      <c r="M438" s="170"/>
      <c r="N438" s="170">
        <f ca="1">IFERROR(__xludf.DUMMYFUNCTION("IMPORTRANGE(""https://docs.google.com/spreadsheets/d/1SX6NBoVAgQJ6U1MVXOaj8PK2l7WJ3RER9xtqwdhxkhw/edit?usp=sharing"",""ชัยนาท!M333"")"),0)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IFERROR(__xludf.DUMMYFUNCTION("IMPORTRANGE(""https://docs.google.com/spreadsheets/d/1SX6NBoVAgQJ6U1MVXOaj8PK2l7WJ3RER9xtqwdhxkhw/edit?usp=sharing"",""ชัยนาท!L334"")"),88000)</f>
        <v>88000</v>
      </c>
      <c r="M439" s="170"/>
      <c r="N439" s="170">
        <f ca="1">IFERROR(__xludf.DUMMYFUNCTION("IMPORTRANGE(""https://docs.google.com/spreadsheets/d/1SX6NBoVAgQJ6U1MVXOaj8PK2l7WJ3RER9xtqwdhxkhw/edit?usp=sharing"",""ชัยนาท!M334"")"),58040)</f>
        <v>58040</v>
      </c>
      <c r="O439" s="170">
        <f t="shared" ca="1" si="114"/>
        <v>65.954545454545453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IFERROR(__xludf.DUMMYFUNCTION("IMPORTRANGE(""https://docs.google.com/spreadsheets/d/1SX6NBoVAgQJ6U1MVXOaj8PK2l7WJ3RER9xtqwdhxkhw/edit?usp=sharing"",""ชัยนาท!M338"")"),25840)</f>
        <v>25840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IFERROR(__xludf.DUMMYFUNCTION("IMPORTRANGE(""https://docs.google.com/spreadsheets/d/1SX6NBoVAgQJ6U1MVXOaj8PK2l7WJ3RER9xtqwdhxkhw/edit?usp=sharing"",""ชัยนาท!J342"")"),1)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IFERROR(__xludf.DUMMYFUNCTION("IMPORTRANGE(""https://docs.google.com/spreadsheets/d/1SX6NBoVAgQJ6U1MVXOaj8PK2l7WJ3RER9xtqwdhxkhw/edit?usp=sharing"",""ชัยนาท!J343"")"),1)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2">
        <f ca="1">IFERROR(__xludf.DUMMYFUNCTION("IMPORTRANGE(""https://docs.google.com/spreadsheets/d/1SX6NBoVAgQJ6U1MVXOaj8PK2l7WJ3RER9xtqwdhxkhw/edit?usp=sharing"",""ชัยนาท!J344"")"),15)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IFERROR(__xludf.DUMMYFUNCTION("IMPORTRANGE(""https://docs.google.com/spreadsheets/d/1SX6NBoVAgQJ6U1MVXOaj8PK2l7WJ3RER9xtqwdhxkhw/edit?usp=sharing"",""ชัยนาท!I345"")"),15)</f>
        <v>15</v>
      </c>
      <c r="J450" s="190">
        <f ca="1">IFERROR(__xludf.DUMMYFUNCTION("IMPORTRANGE(""https://docs.google.com/spreadsheets/d/1SX6NBoVAgQJ6U1MVXOaj8PK2l7WJ3RER9xtqwdhxkhw/edit?usp=sharing"",""ชัยนาท!J345"")"),15)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IFERROR(__xludf.DUMMYFUNCTION("IMPORTRANGE(""https://docs.google.com/spreadsheets/d/1SX6NBoVAgQJ6U1MVXOaj8PK2l7WJ3RER9xtqwdhxkhw/edit?usp=sharing"",""ชัยนาท!I346"")"),0)</f>
        <v>0</v>
      </c>
      <c r="J451" s="189">
        <f ca="1">IFERROR(__xludf.DUMMYFUNCTION("IMPORTRANGE(""https://docs.google.com/spreadsheets/d/1SX6NBoVAgQJ6U1MVXOaj8PK2l7WJ3RER9xtqwdhxkhw/edit?usp=sharing"",""ชัยนาท!J346"")"),0)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IFERROR(__xludf.DUMMYFUNCTION("IMPORTRANGE(""https://docs.google.com/spreadsheets/d/1SX6NBoVAgQJ6U1MVXOaj8PK2l7WJ3RER9xtqwdhxkhw/edit?usp=sharing"",""ชัยนาท!I347"")"),0)</f>
        <v>0</v>
      </c>
      <c r="J452" s="189">
        <f ca="1">IFERROR(__xludf.DUMMYFUNCTION("IMPORTRANGE(""https://docs.google.com/spreadsheets/d/1SX6NBoVAgQJ6U1MVXOaj8PK2l7WJ3RER9xtqwdhxkhw/edit?usp=sharing"",""ชัยนาท!J347"")"),0)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IFERROR(__xludf.DUMMYFUNCTION("IMPORTRANGE(""https://docs.google.com/spreadsheets/d/1SX6NBoVAgQJ6U1MVXOaj8PK2l7WJ3RER9xtqwdhxkhw/edit?usp=sharing"",""ชัยนาท!J348"")"),0)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IFERROR(__xludf.DUMMYFUNCTION("IMPORTRANGE(""https://docs.google.com/spreadsheets/d/1SX6NBoVAgQJ6U1MVXOaj8PK2l7WJ3RER9xtqwdhxkhw/edit?usp=sharing"",""ชัยนาท!J349"")"),0)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IFERROR(__xludf.DUMMYFUNCTION("IMPORTRANGE(""https://docs.google.com/spreadsheets/d/1SX6NBoVAgQJ6U1MVXOaj8PK2l7WJ3RER9xtqwdhxkhw/edit?usp=sharing"",""ชัยนาท!M350"")"),34220)</f>
        <v>34220</v>
      </c>
      <c r="O455" s="373">
        <f t="shared" ref="O455:O459" ca="1" si="116">+IF(L455&gt;0,N455*100/L455,0)</f>
        <v>34.856479312241532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IFERROR(__xludf.DUMMYFUNCTION("IMPORTRANGE(""https://docs.google.com/spreadsheets/d/1SX6NBoVAgQJ6U1MVXOaj8PK2l7WJ3RER9xtqwdhxkhw/edit?usp=sharing"",""ชัยนาท!L351"")"),0)</f>
        <v>0</v>
      </c>
      <c r="M456" s="166"/>
      <c r="N456" s="170">
        <f ca="1">IFERROR(__xludf.DUMMYFUNCTION("IMPORTRANGE(""https://docs.google.com/spreadsheets/d/1SX6NBoVAgQJ6U1MVXOaj8PK2l7WJ3RER9xtqwdhxkhw/edit?usp=sharing"",""ชัยนาท!M351"")"),0)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IFERROR(__xludf.DUMMYFUNCTION("IMPORTRANGE(""https://docs.google.com/spreadsheets/d/1SX6NBoVAgQJ6U1MVXOaj8PK2l7WJ3RER9xtqwdhxkhw/edit?usp=sharing"",""ชัยนาท!L352"")"),98174)</f>
        <v>98174</v>
      </c>
      <c r="M457" s="167"/>
      <c r="N457" s="170">
        <f ca="1">IFERROR(__xludf.DUMMYFUNCTION("IMPORTRANGE(""https://docs.google.com/spreadsheets/d/1SX6NBoVAgQJ6U1MVXOaj8PK2l7WJ3RER9xtqwdhxkhw/edit?usp=sharing"",""ชัยนาท!M352"")"),34220)</f>
        <v>34220</v>
      </c>
      <c r="O457" s="170">
        <f t="shared" ca="1" si="116"/>
        <v>34.856479312241532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IFERROR(__xludf.DUMMYFUNCTION("IMPORTRANGE(""https://docs.google.com/spreadsheets/d/1SX6NBoVAgQJ6U1MVXOaj8PK2l7WJ3RER9xtqwdhxkhw/edit?usp=sharing"",""ชัยนาท!L353"")"),0)</f>
        <v>0</v>
      </c>
      <c r="M458" s="170"/>
      <c r="N458" s="170">
        <f ca="1">IFERROR(__xludf.DUMMYFUNCTION("IMPORTRANGE(""https://docs.google.com/spreadsheets/d/1SX6NBoVAgQJ6U1MVXOaj8PK2l7WJ3RER9xtqwdhxkhw/edit?usp=sharing"",""ชัยนาท!M353"")"),0)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IFERROR(__xludf.DUMMYFUNCTION("IMPORTRANGE(""https://docs.google.com/spreadsheets/d/1SX6NBoVAgQJ6U1MVXOaj8PK2l7WJ3RER9xtqwdhxkhw/edit?usp=sharing"",""ชัยนาท!L354"")"),98174)</f>
        <v>98174</v>
      </c>
      <c r="M459" s="170"/>
      <c r="N459" s="170">
        <f ca="1">IFERROR(__xludf.DUMMYFUNCTION("IMPORTRANGE(""https://docs.google.com/spreadsheets/d/1SX6NBoVAgQJ6U1MVXOaj8PK2l7WJ3RER9xtqwdhxkhw/edit?usp=sharing"",""ชัยนาท!M354"")"),34220)</f>
        <v>34220</v>
      </c>
      <c r="O459" s="170">
        <f t="shared" ca="1" si="116"/>
        <v>34.856479312241532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IFERROR(__xludf.DUMMYFUNCTION("IMPORTRANGE(""https://docs.google.com/spreadsheets/d/1SX6NBoVAgQJ6U1MVXOaj8PK2l7WJ3RER9xtqwdhxkhw/edit?usp=sharing"",""ชัยนาท!M355"")"),0)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IFERROR(__xludf.DUMMYFUNCTION("IMPORTRANGE(""https://docs.google.com/spreadsheets/d/1SX6NBoVAgQJ6U1MVXOaj8PK2l7WJ3RER9xtqwdhxkhw/edit?usp=sharing"",""ชัยนาท!M356"")"),0)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IFERROR(__xludf.DUMMYFUNCTION("IMPORTRANGE(""https://docs.google.com/spreadsheets/d/1SX6NBoVAgQJ6U1MVXOaj8PK2l7WJ3RER9xtqwdhxkhw/edit?usp=sharing"",""ชัยนาท!M358"")"),34220)</f>
        <v>34220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IFERROR(__xludf.DUMMYFUNCTION("IMPORTRANGE(""https://docs.google.com/spreadsheets/d/1SX6NBoVAgQJ6U1MVXOaj8PK2l7WJ3RER9xtqwdhxkhw/edit?usp=sharing"",""ชัยนาท!J359"")"),5989)</f>
        <v>5989</v>
      </c>
      <c r="K464" s="269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IFERROR(__xludf.DUMMYFUNCTION("IMPORTRANGE(""https://docs.google.com/spreadsheets/d/1SX6NBoVAgQJ6U1MVXOaj8PK2l7WJ3RER9xtqwdhxkhw/edit?usp=sharing"",""ชัยนาท!I362"")"),0)</f>
        <v>0</v>
      </c>
      <c r="J467" s="190">
        <f ca="1">IFERROR(__xludf.DUMMYFUNCTION("IMPORTRANGE(""https://docs.google.com/spreadsheets/d/1SX6NBoVAgQJ6U1MVXOaj8PK2l7WJ3RER9xtqwdhxkhw/edit?usp=sharing"",""ชัยนาท!J362"")"),5731)</f>
        <v>5731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IFERROR(__xludf.DUMMYFUNCTION("IMPORTRANGE(""https://docs.google.com/spreadsheets/d/1SX6NBoVAgQJ6U1MVXOaj8PK2l7WJ3RER9xtqwdhxkhw/edit?usp=sharing"",""ชัยนาท!I363"")"),0)</f>
        <v>0</v>
      </c>
      <c r="J468" s="190">
        <f ca="1">IFERROR(__xludf.DUMMYFUNCTION("IMPORTRANGE(""https://docs.google.com/spreadsheets/d/1SX6NBoVAgQJ6U1MVXOaj8PK2l7WJ3RER9xtqwdhxkhw/edit?usp=sharing"",""ชัยนาท!J363"")"),300)</f>
        <v>300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IFERROR(__xludf.DUMMYFUNCTION("IMPORTRANGE(""https://docs.google.com/spreadsheets/d/1SX6NBoVAgQJ6U1MVXOaj8PK2l7WJ3RER9xtqwdhxkhw/edit?usp=sharing"",""ชัยนาท!I364"")"),0)</f>
        <v>0</v>
      </c>
      <c r="J469" s="190">
        <f ca="1">IFERROR(__xludf.DUMMYFUNCTION("IMPORTRANGE(""https://docs.google.com/spreadsheets/d/1SX6NBoVAgQJ6U1MVXOaj8PK2l7WJ3RER9xtqwdhxkhw/edit?usp=sharing"",""ชัยนาท!J364"")"),180)</f>
        <v>180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IFERROR(__xludf.DUMMYFUNCTION("IMPORTRANGE(""https://docs.google.com/spreadsheets/d/1SX6NBoVAgQJ6U1MVXOaj8PK2l7WJ3RER9xtqwdhxkhw/edit?usp=sharing"",""ชัยนาท!I365"")"),0)</f>
        <v>0</v>
      </c>
      <c r="J470" s="190">
        <f ca="1">IFERROR(__xludf.DUMMYFUNCTION("IMPORTRANGE(""https://docs.google.com/spreadsheets/d/1SX6NBoVAgQJ6U1MVXOaj8PK2l7WJ3RER9xtqwdhxkhw/edit?usp=sharing"",""ชัยนาท!J365"")"),17)</f>
        <v>17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IFERROR(__xludf.DUMMYFUNCTION("IMPORTRANGE(""https://docs.google.com/spreadsheets/d/1SX6NBoVAgQJ6U1MVXOaj8PK2l7WJ3RER9xtqwdhxkhw/edit?usp=sharing"",""ชัยนาท!I366"")"),0)</f>
        <v>0</v>
      </c>
      <c r="J471" s="190">
        <f ca="1">IFERROR(__xludf.DUMMYFUNCTION("IMPORTRANGE(""https://docs.google.com/spreadsheets/d/1SX6NBoVAgQJ6U1MVXOaj8PK2l7WJ3RER9xtqwdhxkhw/edit?usp=sharing"",""ชัยนาท!J366"")"),78)</f>
        <v>78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IFERROR(__xludf.DUMMYFUNCTION("IMPORTRANGE(""https://docs.google.com/spreadsheets/d/1SX6NBoVAgQJ6U1MVXOaj8PK2l7WJ3RER9xtqwdhxkhw/edit?usp=sharing"",""ชัยนาท!I367"")"),0)</f>
        <v>0</v>
      </c>
      <c r="J472" s="190">
        <f ca="1">IFERROR(__xludf.DUMMYFUNCTION("IMPORTRANGE(""https://docs.google.com/spreadsheets/d/1SX6NBoVAgQJ6U1MVXOaj8PK2l7WJ3RER9xtqwdhxkhw/edit?usp=sharing"",""ชัยนาท!J367"")"),4)</f>
        <v>4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3">
        <f t="shared" ca="1" si="117"/>
        <v>100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IFERROR(__xludf.DUMMYFUNCTION("IMPORTRANGE(""https://docs.google.com/spreadsheets/d/1SX6NBoVAgQJ6U1MVXOaj8PK2l7WJ3RER9xtqwdhxkhw/edit?usp=sharing"",""ชัยนาท!I370"")"),0)</f>
        <v>0</v>
      </c>
      <c r="J475" s="190">
        <f ca="1">IFERROR(__xludf.DUMMYFUNCTION("IMPORTRANGE(""https://docs.google.com/spreadsheets/d/1SX6NBoVAgQJ6U1MVXOaj8PK2l7WJ3RER9xtqwdhxkhw/edit?usp=sharing"",""ชัยนาท!J370"")"),5731)</f>
        <v>5731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IFERROR(__xludf.DUMMYFUNCTION("IMPORTRANGE(""https://docs.google.com/spreadsheets/d/1SX6NBoVAgQJ6U1MVXOaj8PK2l7WJ3RER9xtqwdhxkhw/edit?usp=sharing"",""ชัยนาท!I371"")"),0)</f>
        <v>0</v>
      </c>
      <c r="J476" s="190">
        <f ca="1">IFERROR(__xludf.DUMMYFUNCTION("IMPORTRANGE(""https://docs.google.com/spreadsheets/d/1SX6NBoVAgQJ6U1MVXOaj8PK2l7WJ3RER9xtqwdhxkhw/edit?usp=sharing"",""ชัยนาท!J371"")"),300)</f>
        <v>300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IFERROR(__xludf.DUMMYFUNCTION("IMPORTRANGE(""https://docs.google.com/spreadsheets/d/1SX6NBoVAgQJ6U1MVXOaj8PK2l7WJ3RER9xtqwdhxkhw/edit?usp=sharing"",""ชัยนาท!I372"")"),0)</f>
        <v>0</v>
      </c>
      <c r="J477" s="190">
        <f ca="1">IFERROR(__xludf.DUMMYFUNCTION("IMPORTRANGE(""https://docs.google.com/spreadsheets/d/1SX6NBoVAgQJ6U1MVXOaj8PK2l7WJ3RER9xtqwdhxkhw/edit?usp=sharing"",""ชัยนาท!J372"")"),180)</f>
        <v>180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IFERROR(__xludf.DUMMYFUNCTION("IMPORTRANGE(""https://docs.google.com/spreadsheets/d/1SX6NBoVAgQJ6U1MVXOaj8PK2l7WJ3RER9xtqwdhxkhw/edit?usp=sharing"",""ชัยนาท!I373"")"),0)</f>
        <v>0</v>
      </c>
      <c r="J478" s="190">
        <f ca="1">IFERROR(__xludf.DUMMYFUNCTION("IMPORTRANGE(""https://docs.google.com/spreadsheets/d/1SX6NBoVAgQJ6U1MVXOaj8PK2l7WJ3RER9xtqwdhxkhw/edit?usp=sharing"",""ชัยนาท!J373"")"),17)</f>
        <v>17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IFERROR(__xludf.DUMMYFUNCTION("IMPORTRANGE(""https://docs.google.com/spreadsheets/d/1SX6NBoVAgQJ6U1MVXOaj8PK2l7WJ3RER9xtqwdhxkhw/edit?usp=sharing"",""ชัยนาท!I374"")"),0)</f>
        <v>0</v>
      </c>
      <c r="J479" s="190">
        <f ca="1">IFERROR(__xludf.DUMMYFUNCTION("IMPORTRANGE(""https://docs.google.com/spreadsheets/d/1SX6NBoVAgQJ6U1MVXOaj8PK2l7WJ3RER9xtqwdhxkhw/edit?usp=sharing"",""ชัยนาท!J374"")"),78)</f>
        <v>78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IFERROR(__xludf.DUMMYFUNCTION("IMPORTRANGE(""https://docs.google.com/spreadsheets/d/1SX6NBoVAgQJ6U1MVXOaj8PK2l7WJ3RER9xtqwdhxkhw/edit?usp=sharing"",""ชัยนาท!I375"")"),0)</f>
        <v>0</v>
      </c>
      <c r="J480" s="190">
        <f ca="1">IFERROR(__xludf.DUMMYFUNCTION("IMPORTRANGE(""https://docs.google.com/spreadsheets/d/1SX6NBoVAgQJ6U1MVXOaj8PK2l7WJ3RER9xtqwdhxkhw/edit?usp=sharing"",""ชัยนาท!J375"")"),4)</f>
        <v>4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3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165">
        <f t="shared" ca="1" si="117"/>
        <v>100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IFERROR(__xludf.DUMMYFUNCTION("IMPORTRANGE(""https://docs.google.com/spreadsheets/d/1SX6NBoVAgQJ6U1MVXOaj8PK2l7WJ3RER9xtqwdhxkhw/edit?usp=sharing"",""ชัยนาท!I378"")"),0)</f>
        <v>0</v>
      </c>
      <c r="J483" s="190">
        <f ca="1">IFERROR(__xludf.DUMMYFUNCTION("IMPORTRANGE(""https://docs.google.com/spreadsheets/d/1SX6NBoVAgQJ6U1MVXOaj8PK2l7WJ3RER9xtqwdhxkhw/edit?usp=sharing"",""ชัยนาท!J378"")"),5731)</f>
        <v>5731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IFERROR(__xludf.DUMMYFUNCTION("IMPORTRANGE(""https://docs.google.com/spreadsheets/d/1SX6NBoVAgQJ6U1MVXOaj8PK2l7WJ3RER9xtqwdhxkhw/edit?usp=sharing"",""ชัยนาท!I379"")"),0)</f>
        <v>0</v>
      </c>
      <c r="J484" s="190">
        <f ca="1">IFERROR(__xludf.DUMMYFUNCTION("IMPORTRANGE(""https://docs.google.com/spreadsheets/d/1SX6NBoVAgQJ6U1MVXOaj8PK2l7WJ3RER9xtqwdhxkhw/edit?usp=sharing"",""ชัยนาท!J379"")"),300)</f>
        <v>300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IFERROR(__xludf.DUMMYFUNCTION("IMPORTRANGE(""https://docs.google.com/spreadsheets/d/1SX6NBoVAgQJ6U1MVXOaj8PK2l7WJ3RER9xtqwdhxkhw/edit?usp=sharing"",""ชัยนาท!I380"")"),0)</f>
        <v>0</v>
      </c>
      <c r="J485" s="190">
        <f ca="1">IFERROR(__xludf.DUMMYFUNCTION("IMPORTRANGE(""https://docs.google.com/spreadsheets/d/1SX6NBoVAgQJ6U1MVXOaj8PK2l7WJ3RER9xtqwdhxkhw/edit?usp=sharing"",""ชัยนาท!J380"")"),180)</f>
        <v>180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IFERROR(__xludf.DUMMYFUNCTION("IMPORTRANGE(""https://docs.google.com/spreadsheets/d/1SX6NBoVAgQJ6U1MVXOaj8PK2l7WJ3RER9xtqwdhxkhw/edit?usp=sharing"",""ชัยนาท!I381"")"),0)</f>
        <v>0</v>
      </c>
      <c r="J486" s="190">
        <f ca="1">IFERROR(__xludf.DUMMYFUNCTION("IMPORTRANGE(""https://docs.google.com/spreadsheets/d/1SX6NBoVAgQJ6U1MVXOaj8PK2l7WJ3RER9xtqwdhxkhw/edit?usp=sharing"",""ชัยนาท!J381"")"),17)</f>
        <v>17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IFERROR(__xludf.DUMMYFUNCTION("IMPORTRANGE(""https://docs.google.com/spreadsheets/d/1SX6NBoVAgQJ6U1MVXOaj8PK2l7WJ3RER9xtqwdhxkhw/edit?usp=sharing"",""ชัยนาท!I384"")"),0)</f>
        <v>0</v>
      </c>
      <c r="J489" s="190">
        <f ca="1">IFERROR(__xludf.DUMMYFUNCTION("IMPORTRANGE(""https://docs.google.com/spreadsheets/d/1SX6NBoVAgQJ6U1MVXOaj8PK2l7WJ3RER9xtqwdhxkhw/edit?usp=sharing"",""ชัยนาท!J384"")"),78)</f>
        <v>78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IFERROR(__xludf.DUMMYFUNCTION("IMPORTRANGE(""https://docs.google.com/spreadsheets/d/1SX6NBoVAgQJ6U1MVXOaj8PK2l7WJ3RER9xtqwdhxkhw/edit?usp=sharing"",""ชัยนาท!I385"")"),0)</f>
        <v>0</v>
      </c>
      <c r="J490" s="190">
        <f ca="1">IFERROR(__xludf.DUMMYFUNCTION("IMPORTRANGE(""https://docs.google.com/spreadsheets/d/1SX6NBoVAgQJ6U1MVXOaj8PK2l7WJ3RER9xtqwdhxkhw/edit?usp=sharing"",""ชัยนาท!J385"")"),4)</f>
        <v>4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IFERROR(__xludf.DUMMYFUNCTION("IMPORTRANGE(""https://docs.google.com/spreadsheets/d/1SX6NBoVAgQJ6U1MVXOaj8PK2l7WJ3RER9xtqwdhxkhw/edit?usp=sharing"",""ชัยนาท!I386"")"),0)</f>
        <v>0</v>
      </c>
      <c r="J491" s="190">
        <f ca="1">IFERROR(__xludf.DUMMYFUNCTION("IMPORTRANGE(""https://docs.google.com/spreadsheets/d/1SX6NBoVAgQJ6U1MVXOaj8PK2l7WJ3RER9xtqwdhxkhw/edit?usp=sharing"",""ชัยนาท!J386"")"),0)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IFERROR(__xludf.DUMMYFUNCTION("IMPORTRANGE(""https://docs.google.com/spreadsheets/d/1SX6NBoVAgQJ6U1MVXOaj8PK2l7WJ3RER9xtqwdhxkhw/edit?usp=sharing"",""ชัยนาท!I387"")"),0)</f>
        <v>0</v>
      </c>
      <c r="J492" s="190">
        <f ca="1">IFERROR(__xludf.DUMMYFUNCTION("IMPORTRANGE(""https://docs.google.com/spreadsheets/d/1SX6NBoVAgQJ6U1MVXOaj8PK2l7WJ3RER9xtqwdhxkhw/edit?usp=sharing"",""ชัยนาท!J387"")"),0)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IFERROR(__xludf.DUMMYFUNCTION("IMPORTRANGE(""https://docs.google.com/spreadsheets/d/1SX6NBoVAgQJ6U1MVXOaj8PK2l7WJ3RER9xtqwdhxkhw/edit?usp=sharing"",""ชัยนาท!I388"")"),0)</f>
        <v>0</v>
      </c>
      <c r="J493" s="190">
        <f ca="1">IFERROR(__xludf.DUMMYFUNCTION("IMPORTRANGE(""https://docs.google.com/spreadsheets/d/1SX6NBoVAgQJ6U1MVXOaj8PK2l7WJ3RER9xtqwdhxkhw/edit?usp=sharing"",""ชัยนาท!J388"")"),0)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IFERROR(__xludf.DUMMYFUNCTION("IMPORTRANGE(""https://docs.google.com/spreadsheets/d/1SX6NBoVAgQJ6U1MVXOaj8PK2l7WJ3RER9xtqwdhxkhw/edit?usp=sharing"",""ชัยนาท!I395"")"),0)</f>
        <v>0</v>
      </c>
      <c r="J500" s="164">
        <f ca="1">IFERROR(__xludf.DUMMYFUNCTION("IMPORTRANGE(""https://docs.google.com/spreadsheets/d/1SX6NBoVAgQJ6U1MVXOaj8PK2l7WJ3RER9xtqwdhxkhw/edit?usp=sharing"",""ชัยนาท!J395"")"),0)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IFERROR(__xludf.DUMMYFUNCTION("IMPORTRANGE(""https://docs.google.com/spreadsheets/d/1SX6NBoVAgQJ6U1MVXOaj8PK2l7WJ3RER9xtqwdhxkhw/edit?usp=sharing"",""ชัยนาท!I396"")"),0)</f>
        <v>0</v>
      </c>
      <c r="J501" s="164">
        <f ca="1">IFERROR(__xludf.DUMMYFUNCTION("IMPORTRANGE(""https://docs.google.com/spreadsheets/d/1SX6NBoVAgQJ6U1MVXOaj8PK2l7WJ3RER9xtqwdhxkhw/edit?usp=sharing"",""ชัยนาท!J396"")"),0)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IFERROR(__xludf.DUMMYFUNCTION("IMPORTRANGE(""https://docs.google.com/spreadsheets/d/1SX6NBoVAgQJ6U1MVXOaj8PK2l7WJ3RER9xtqwdhxkhw/edit?usp=sharing"",""ชัยนาท!I397"")"),0)</f>
        <v>0</v>
      </c>
      <c r="J502" s="190">
        <f ca="1">IFERROR(__xludf.DUMMYFUNCTION("IMPORTRANGE(""https://docs.google.com/spreadsheets/d/1SX6NBoVAgQJ6U1MVXOaj8PK2l7WJ3RER9xtqwdhxkhw/edit?usp=sharing"",""ชัยนาท!J397"")"),0)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IFERROR(__xludf.DUMMYFUNCTION("IMPORTRANGE(""https://docs.google.com/spreadsheets/d/1SX6NBoVAgQJ6U1MVXOaj8PK2l7WJ3RER9xtqwdhxkhw/edit?usp=sharing"",""ชัยนาท!I398"")"),0)</f>
        <v>0</v>
      </c>
      <c r="J503" s="199">
        <f ca="1">IFERROR(__xludf.DUMMYFUNCTION("IMPORTRANGE(""https://docs.google.com/spreadsheets/d/1SX6NBoVAgQJ6U1MVXOaj8PK2l7WJ3RER9xtqwdhxkhw/edit?usp=sharing"",""ชัยนาท!J398"")"),0)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IFERROR(__xludf.DUMMYFUNCTION("IMPORTRANGE(""https://docs.google.com/spreadsheets/d/1SX6NBoVAgQJ6U1MVXOaj8PK2l7WJ3RER9xtqwdhxkhw/edit?usp=sharing"",""ชัยนาท!I399"")"),0)</f>
        <v>0</v>
      </c>
      <c r="J504" s="190">
        <f ca="1">IFERROR(__xludf.DUMMYFUNCTION("IMPORTRANGE(""https://docs.google.com/spreadsheets/d/1SX6NBoVAgQJ6U1MVXOaj8PK2l7WJ3RER9xtqwdhxkhw/edit?usp=sharing"",""ชัยนาท!J399"")"),0)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IFERROR(__xludf.DUMMYFUNCTION("IMPORTRANGE(""https://docs.google.com/spreadsheets/d/1SX6NBoVAgQJ6U1MVXOaj8PK2l7WJ3RER9xtqwdhxkhw/edit?usp=sharing"",""ชัยนาท!I400"")"),0)</f>
        <v>0</v>
      </c>
      <c r="J505" s="199">
        <f ca="1">IFERROR(__xludf.DUMMYFUNCTION("IMPORTRANGE(""https://docs.google.com/spreadsheets/d/1SX6NBoVAgQJ6U1MVXOaj8PK2l7WJ3RER9xtqwdhxkhw/edit?usp=sharing"",""ชัยนาท!J400"")"),0)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IFERROR(__xludf.DUMMYFUNCTION("IMPORTRANGE(""https://docs.google.com/spreadsheets/d/1SX6NBoVAgQJ6U1MVXOaj8PK2l7WJ3RER9xtqwdhxkhw/edit?usp=sharing"",""ชัยนาท!I401"")"),0)</f>
        <v>0</v>
      </c>
      <c r="J506" s="190">
        <f ca="1">IFERROR(__xludf.DUMMYFUNCTION("IMPORTRANGE(""https://docs.google.com/spreadsheets/d/1SX6NBoVAgQJ6U1MVXOaj8PK2l7WJ3RER9xtqwdhxkhw/edit?usp=sharing"",""ชัยนาท!J401"")"),0)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IFERROR(__xludf.DUMMYFUNCTION("IMPORTRANGE(""https://docs.google.com/spreadsheets/d/1SX6NBoVAgQJ6U1MVXOaj8PK2l7WJ3RER9xtqwdhxkhw/edit?usp=sharing"",""ชัยนาท!I402"")"),0)</f>
        <v>0</v>
      </c>
      <c r="J507" s="199">
        <f ca="1">IFERROR(__xludf.DUMMYFUNCTION("IMPORTRANGE(""https://docs.google.com/spreadsheets/d/1SX6NBoVAgQJ6U1MVXOaj8PK2l7WJ3RER9xtqwdhxkhw/edit?usp=sharing"",""ชัยนาท!J402"")"),0)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IFERROR(__xludf.DUMMYFUNCTION("IMPORTRANGE(""https://docs.google.com/spreadsheets/d/1SX6NBoVAgQJ6U1MVXOaj8PK2l7WJ3RER9xtqwdhxkhw/edit?usp=sharing"",""ชัยนาท!I403"")"),0)</f>
        <v>0</v>
      </c>
      <c r="J508" s="164">
        <f ca="1">IFERROR(__xludf.DUMMYFUNCTION("IMPORTRANGE(""https://docs.google.com/spreadsheets/d/1SX6NBoVAgQJ6U1MVXOaj8PK2l7WJ3RER9xtqwdhxkhw/edit?usp=sharing"",""ชัยนาท!J403"")"),0)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IFERROR(__xludf.DUMMYFUNCTION("IMPORTRANGE(""https://docs.google.com/spreadsheets/d/1SX6NBoVAgQJ6U1MVXOaj8PK2l7WJ3RER9xtqwdhxkhw/edit?usp=sharing"",""ชัยนาท!I404"")"),0)</f>
        <v>0</v>
      </c>
      <c r="J509" s="164">
        <f ca="1">IFERROR(__xludf.DUMMYFUNCTION("IMPORTRANGE(""https://docs.google.com/spreadsheets/d/1SX6NBoVAgQJ6U1MVXOaj8PK2l7WJ3RER9xtqwdhxkhw/edit?usp=sharing"",""ชัยนาท!J404"")"),0)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IFERROR(__xludf.DUMMYFUNCTION("IMPORTRANGE(""https://docs.google.com/spreadsheets/d/1SX6NBoVAgQJ6U1MVXOaj8PK2l7WJ3RER9xtqwdhxkhw/edit?usp=sharing"",""ชัยนาท!I405"")"),0)</f>
        <v>0</v>
      </c>
      <c r="J510" s="199">
        <f ca="1">IFERROR(__xludf.DUMMYFUNCTION("IMPORTRANGE(""https://docs.google.com/spreadsheets/d/1SX6NBoVAgQJ6U1MVXOaj8PK2l7WJ3RER9xtqwdhxkhw/edit?usp=sharing"",""ชัยนาท!J405"")"),0)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IFERROR(__xludf.DUMMYFUNCTION("IMPORTRANGE(""https://docs.google.com/spreadsheets/d/1SX6NBoVAgQJ6U1MVXOaj8PK2l7WJ3RER9xtqwdhxkhw/edit?usp=sharing"",""ชัยนาท!I406"")"),0)</f>
        <v>0</v>
      </c>
      <c r="J511" s="199">
        <f ca="1">IFERROR(__xludf.DUMMYFUNCTION("IMPORTRANGE(""https://docs.google.com/spreadsheets/d/1SX6NBoVAgQJ6U1MVXOaj8PK2l7WJ3RER9xtqwdhxkhw/edit?usp=sharing"",""ชัยนาท!J406"")"),0)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IFERROR(__xludf.DUMMYFUNCTION("IMPORTRANGE(""https://docs.google.com/spreadsheets/d/1SX6NBoVAgQJ6U1MVXOaj8PK2l7WJ3RER9xtqwdhxkhw/edit?usp=sharing"",""ชัยนาท!I407"")"),0)</f>
        <v>0</v>
      </c>
      <c r="J512" s="199">
        <f ca="1">IFERROR(__xludf.DUMMYFUNCTION("IMPORTRANGE(""https://docs.google.com/spreadsheets/d/1SX6NBoVAgQJ6U1MVXOaj8PK2l7WJ3RER9xtqwdhxkhw/edit?usp=sharing"",""ชัยนาท!J407"")"),0)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IFERROR(__xludf.DUMMYFUNCTION("IMPORTRANGE(""https://docs.google.com/spreadsheets/d/1SX6NBoVAgQJ6U1MVXOaj8PK2l7WJ3RER9xtqwdhxkhw/edit?usp=sharing"",""ชัยนาท!I408"")"),0)</f>
        <v>0</v>
      </c>
      <c r="J513" s="199">
        <f ca="1">IFERROR(__xludf.DUMMYFUNCTION("IMPORTRANGE(""https://docs.google.com/spreadsheets/d/1SX6NBoVAgQJ6U1MVXOaj8PK2l7WJ3RER9xtqwdhxkhw/edit?usp=sharing"",""ชัยนาท!J408"")"),0)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IFERROR(__xludf.DUMMYFUNCTION("IMPORTRANGE(""https://docs.google.com/spreadsheets/d/1SX6NBoVAgQJ6U1MVXOaj8PK2l7WJ3RER9xtqwdhxkhw/edit?usp=sharing"",""ชัยนาท!I409"")"),0)</f>
        <v>0</v>
      </c>
      <c r="J514" s="199">
        <f ca="1">IFERROR(__xludf.DUMMYFUNCTION("IMPORTRANGE(""https://docs.google.com/spreadsheets/d/1SX6NBoVAgQJ6U1MVXOaj8PK2l7WJ3RER9xtqwdhxkhw/edit?usp=sharing"",""ชัยนาท!J409"")"),0)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IFERROR(__xludf.DUMMYFUNCTION("IMPORTRANGE(""https://docs.google.com/spreadsheets/d/1SX6NBoVAgQJ6U1MVXOaj8PK2l7WJ3RER9xtqwdhxkhw/edit?usp=sharing"",""ชัยนาท!I410"")"),0)</f>
        <v>0</v>
      </c>
      <c r="J515" s="199">
        <f ca="1">IFERROR(__xludf.DUMMYFUNCTION("IMPORTRANGE(""https://docs.google.com/spreadsheets/d/1SX6NBoVAgQJ6U1MVXOaj8PK2l7WJ3RER9xtqwdhxkhw/edit?usp=sharing"",""ชัยนาท!J410"")"),0)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IFERROR(__xludf.DUMMYFUNCTION("IMPORTRANGE(""https://docs.google.com/spreadsheets/d/1SX6NBoVAgQJ6U1MVXOaj8PK2l7WJ3RER9xtqwdhxkhw/edit?usp=sharing"",""ชัยนาท!I412"")"),0)</f>
        <v>0</v>
      </c>
      <c r="J517" s="284">
        <f ca="1">IFERROR(__xludf.DUMMYFUNCTION("IMPORTRANGE(""https://docs.google.com/spreadsheets/d/1SX6NBoVAgQJ6U1MVXOaj8PK2l7WJ3RER9xtqwdhxkhw/edit?usp=sharing"",""ชัยนาท!J412"")"),0)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IFERROR(__xludf.DUMMYFUNCTION("IMPORTRANGE(""https://docs.google.com/spreadsheets/d/1SX6NBoVAgQJ6U1MVXOaj8PK2l7WJ3RER9xtqwdhxkhw/edit?usp=sharing"",""ชัยนาท!I413"")"),0)</f>
        <v>0</v>
      </c>
      <c r="J518" s="284">
        <f ca="1">IFERROR(__xludf.DUMMYFUNCTION("IMPORTRANGE(""https://docs.google.com/spreadsheets/d/1SX6NBoVAgQJ6U1MVXOaj8PK2l7WJ3RER9xtqwdhxkhw/edit?usp=sharing"",""ชัยนาท!J413"")"),0)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IFERROR(__xludf.DUMMYFUNCTION("IMPORTRANGE(""https://docs.google.com/spreadsheets/d/1SX6NBoVAgQJ6U1MVXOaj8PK2l7WJ3RER9xtqwdhxkhw/edit?usp=sharing"",""ชัยนาท!I414"")"),0)</f>
        <v>0</v>
      </c>
      <c r="J519" s="189">
        <f ca="1">IFERROR(__xludf.DUMMYFUNCTION("IMPORTRANGE(""https://docs.google.com/spreadsheets/d/1SX6NBoVAgQJ6U1MVXOaj8PK2l7WJ3RER9xtqwdhxkhw/edit?usp=sharing"",""ชัยนาท!J414"")"),0)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IFERROR(__xludf.DUMMYFUNCTION("IMPORTRANGE(""https://docs.google.com/spreadsheets/d/1SX6NBoVAgQJ6U1MVXOaj8PK2l7WJ3RER9xtqwdhxkhw/edit?usp=sharing"",""ชัยนาท!I415"")"),0)</f>
        <v>0</v>
      </c>
      <c r="J520" s="189">
        <f ca="1">IFERROR(__xludf.DUMMYFUNCTION("IMPORTRANGE(""https://docs.google.com/spreadsheets/d/1SX6NBoVAgQJ6U1MVXOaj8PK2l7WJ3RER9xtqwdhxkhw/edit?usp=sharing"",""ชัยนาท!J415"")"),0)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IFERROR(__xludf.DUMMYFUNCTION("IMPORTRANGE(""https://docs.google.com/spreadsheets/d/1SX6NBoVAgQJ6U1MVXOaj8PK2l7WJ3RER9xtqwdhxkhw/edit?usp=sharing"",""ชัยนาท!I416"")"),0)</f>
        <v>0</v>
      </c>
      <c r="J521" s="189">
        <f ca="1">IFERROR(__xludf.DUMMYFUNCTION("IMPORTRANGE(""https://docs.google.com/spreadsheets/d/1SX6NBoVAgQJ6U1MVXOaj8PK2l7WJ3RER9xtqwdhxkhw/edit?usp=sharing"",""ชัยนาท!J416"")"),0)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IFERROR(__xludf.DUMMYFUNCTION("IMPORTRANGE(""https://docs.google.com/spreadsheets/d/1SX6NBoVAgQJ6U1MVXOaj8PK2l7WJ3RER9xtqwdhxkhw/edit?usp=sharing"",""ชัยนาท!I417"")"),0)</f>
        <v>0</v>
      </c>
      <c r="J522" s="189">
        <f ca="1">IFERROR(__xludf.DUMMYFUNCTION("IMPORTRANGE(""https://docs.google.com/spreadsheets/d/1SX6NBoVAgQJ6U1MVXOaj8PK2l7WJ3RER9xtqwdhxkhw/edit?usp=sharing"",""ชัยนาท!J417"")"),0)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IFERROR(__xludf.DUMMYFUNCTION("IMPORTRANGE(""https://docs.google.com/spreadsheets/d/1SX6NBoVAgQJ6U1MVXOaj8PK2l7WJ3RER9xtqwdhxkhw/edit?usp=sharing"",""ชัยนาท!I418"")"),0)</f>
        <v>0</v>
      </c>
      <c r="J523" s="189">
        <f ca="1">IFERROR(__xludf.DUMMYFUNCTION("IMPORTRANGE(""https://docs.google.com/spreadsheets/d/1SX6NBoVAgQJ6U1MVXOaj8PK2l7WJ3RER9xtqwdhxkhw/edit?usp=sharing"",""ชัยนาท!J418"")"),0)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IFERROR(__xludf.DUMMYFUNCTION("IMPORTRANGE(""https://docs.google.com/spreadsheets/d/1SX6NBoVAgQJ6U1MVXOaj8PK2l7WJ3RER9xtqwdhxkhw/edit?usp=sharing"",""ชัยนาท!I419"")"),0)</f>
        <v>0</v>
      </c>
      <c r="J524" s="189">
        <f ca="1">IFERROR(__xludf.DUMMYFUNCTION("IMPORTRANGE(""https://docs.google.com/spreadsheets/d/1SX6NBoVAgQJ6U1MVXOaj8PK2l7WJ3RER9xtqwdhxkhw/edit?usp=sharing"",""ชัยนาท!J419"")"),0)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IFERROR(__xludf.DUMMYFUNCTION("IMPORTRANGE(""https://docs.google.com/spreadsheets/d/1SX6NBoVAgQJ6U1MVXOaj8PK2l7WJ3RER9xtqwdhxkhw/edit?usp=sharing"",""ชัยนาท!I420"")"),0)</f>
        <v>0</v>
      </c>
      <c r="J525" s="284">
        <f ca="1">IFERROR(__xludf.DUMMYFUNCTION("IMPORTRANGE(""https://docs.google.com/spreadsheets/d/1SX6NBoVAgQJ6U1MVXOaj8PK2l7WJ3RER9xtqwdhxkhw/edit?usp=sharing"",""ชัยนาท!J420"")"),0)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IFERROR(__xludf.DUMMYFUNCTION("IMPORTRANGE(""https://docs.google.com/spreadsheets/d/1SX6NBoVAgQJ6U1MVXOaj8PK2l7WJ3RER9xtqwdhxkhw/edit?usp=sharing"",""ชัยนาท!I421"")"),0)</f>
        <v>0</v>
      </c>
      <c r="J526" s="284">
        <f ca="1">IFERROR(__xludf.DUMMYFUNCTION("IMPORTRANGE(""https://docs.google.com/spreadsheets/d/1SX6NBoVAgQJ6U1MVXOaj8PK2l7WJ3RER9xtqwdhxkhw/edit?usp=sharing"",""ชัยนาท!J421"")"),0)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IFERROR(__xludf.DUMMYFUNCTION("IMPORTRANGE(""https://docs.google.com/spreadsheets/d/1SX6NBoVAgQJ6U1MVXOaj8PK2l7WJ3RER9xtqwdhxkhw/edit?usp=sharing"",""ชัยนาท!I422"")"),0)</f>
        <v>0</v>
      </c>
      <c r="J527" s="199">
        <f ca="1">IFERROR(__xludf.DUMMYFUNCTION("IMPORTRANGE(""https://docs.google.com/spreadsheets/d/1SX6NBoVAgQJ6U1MVXOaj8PK2l7WJ3RER9xtqwdhxkhw/edit?usp=sharing"",""ชัยนาท!J422"")"),0)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IFERROR(__xludf.DUMMYFUNCTION("IMPORTRANGE(""https://docs.google.com/spreadsheets/d/1SX6NBoVAgQJ6U1MVXOaj8PK2l7WJ3RER9xtqwdhxkhw/edit?usp=sharing"",""ชัยนาท!I423"")"),0)</f>
        <v>0</v>
      </c>
      <c r="J528" s="199">
        <f ca="1">IFERROR(__xludf.DUMMYFUNCTION("IMPORTRANGE(""https://docs.google.com/spreadsheets/d/1SX6NBoVAgQJ6U1MVXOaj8PK2l7WJ3RER9xtqwdhxkhw/edit?usp=sharing"",""ชัยนาท!J423"")"),0)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IFERROR(__xludf.DUMMYFUNCTION("IMPORTRANGE(""https://docs.google.com/spreadsheets/d/1SX6NBoVAgQJ6U1MVXOaj8PK2l7WJ3RER9xtqwdhxkhw/edit?usp=sharing"",""ชัยนาท!I424"")"),0)</f>
        <v>0</v>
      </c>
      <c r="J529" s="199">
        <f ca="1">IFERROR(__xludf.DUMMYFUNCTION("IMPORTRANGE(""https://docs.google.com/spreadsheets/d/1SX6NBoVAgQJ6U1MVXOaj8PK2l7WJ3RER9xtqwdhxkhw/edit?usp=sharing"",""ชัยนาท!J424"")"),0)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IFERROR(__xludf.DUMMYFUNCTION("IMPORTRANGE(""https://docs.google.com/spreadsheets/d/1SX6NBoVAgQJ6U1MVXOaj8PK2l7WJ3RER9xtqwdhxkhw/edit?usp=sharing"",""ชัยนาท!I425"")"),0)</f>
        <v>0</v>
      </c>
      <c r="J530" s="199">
        <f ca="1">IFERROR(__xludf.DUMMYFUNCTION("IMPORTRANGE(""https://docs.google.com/spreadsheets/d/1SX6NBoVAgQJ6U1MVXOaj8PK2l7WJ3RER9xtqwdhxkhw/edit?usp=sharing"",""ชัยนาท!J425"")"),0)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IFERROR(__xludf.DUMMYFUNCTION("IMPORTRANGE(""https://docs.google.com/spreadsheets/d/1SX6NBoVAgQJ6U1MVXOaj8PK2l7WJ3RER9xtqwdhxkhw/edit?usp=sharing"",""ชัยนาท!I426"")"),0)</f>
        <v>0</v>
      </c>
      <c r="J531" s="199">
        <f ca="1">IFERROR(__xludf.DUMMYFUNCTION("IMPORTRANGE(""https://docs.google.com/spreadsheets/d/1SX6NBoVAgQJ6U1MVXOaj8PK2l7WJ3RER9xtqwdhxkhw/edit?usp=sharing"",""ชัยนาท!J426"")"),0)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IFERROR(__xludf.DUMMYFUNCTION("IMPORTRANGE(""https://docs.google.com/spreadsheets/d/1SX6NBoVAgQJ6U1MVXOaj8PK2l7WJ3RER9xtqwdhxkhw/edit?usp=sharing"",""ชัยนาท!M428"")"),26220)</f>
        <v>26220</v>
      </c>
      <c r="O533" s="412">
        <f t="shared" ref="O533:O537" ca="1" si="118">+IF(L533&gt;0,N533*100/L533,0)</f>
        <v>76.35410599883518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IFERROR(__xludf.DUMMYFUNCTION("IMPORTRANGE(""https://docs.google.com/spreadsheets/d/1SX6NBoVAgQJ6U1MVXOaj8PK2l7WJ3RER9xtqwdhxkhw/edit?usp=sharing"",""ชัยนาท!L429"")"),0)</f>
        <v>0</v>
      </c>
      <c r="M534" s="166"/>
      <c r="N534" s="170">
        <f ca="1">IFERROR(__xludf.DUMMYFUNCTION("IMPORTRANGE(""https://docs.google.com/spreadsheets/d/1SX6NBoVAgQJ6U1MVXOaj8PK2l7WJ3RER9xtqwdhxkhw/edit?usp=sharing"",""ชัยนาท!M429"")"),0)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IFERROR(__xludf.DUMMYFUNCTION("IMPORTRANGE(""https://docs.google.com/spreadsheets/d/1SX6NBoVAgQJ6U1MVXOaj8PK2l7WJ3RER9xtqwdhxkhw/edit?usp=sharing"",""ชัยนาท!L430"")"),34340)</f>
        <v>34340</v>
      </c>
      <c r="M535" s="167"/>
      <c r="N535" s="170">
        <f ca="1">IFERROR(__xludf.DUMMYFUNCTION("IMPORTRANGE(""https://docs.google.com/spreadsheets/d/1SX6NBoVAgQJ6U1MVXOaj8PK2l7WJ3RER9xtqwdhxkhw/edit?usp=sharing"",""ชัยนาท!M430"")"),26220)</f>
        <v>26220</v>
      </c>
      <c r="O535" s="170">
        <f t="shared" ca="1" si="118"/>
        <v>76.35410599883518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IFERROR(__xludf.DUMMYFUNCTION("IMPORTRANGE(""https://docs.google.com/spreadsheets/d/1SX6NBoVAgQJ6U1MVXOaj8PK2l7WJ3RER9xtqwdhxkhw/edit?usp=sharing"",""ชัยนาท!L431"")"),0)</f>
        <v>0</v>
      </c>
      <c r="M536" s="170"/>
      <c r="N536" s="170">
        <f ca="1">IFERROR(__xludf.DUMMYFUNCTION("IMPORTRANGE(""https://docs.google.com/spreadsheets/d/1SX6NBoVAgQJ6U1MVXOaj8PK2l7WJ3RER9xtqwdhxkhw/edit?usp=sharing"",""ชัยนาท!M431"")"),0)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IFERROR(__xludf.DUMMYFUNCTION("IMPORTRANGE(""https://docs.google.com/spreadsheets/d/1SX6NBoVAgQJ6U1MVXOaj8PK2l7WJ3RER9xtqwdhxkhw/edit?usp=sharing"",""ชัยนาท!L432"")"),34340)</f>
        <v>34340</v>
      </c>
      <c r="M537" s="170"/>
      <c r="N537" s="170">
        <f ca="1">IFERROR(__xludf.DUMMYFUNCTION("IMPORTRANGE(""https://docs.google.com/spreadsheets/d/1SX6NBoVAgQJ6U1MVXOaj8PK2l7WJ3RER9xtqwdhxkhw/edit?usp=sharing"",""ชัยนาท!M432"")"),26220)</f>
        <v>26220</v>
      </c>
      <c r="O537" s="170">
        <f t="shared" ca="1" si="118"/>
        <v>76.35410599883518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IFERROR(__xludf.DUMMYFUNCTION("IMPORTRANGE(""https://docs.google.com/spreadsheets/d/1SX6NBoVAgQJ6U1MVXOaj8PK2l7WJ3RER9xtqwdhxkhw/edit?usp=sharing"",""ชัยนาท!M436"")"),7480)</f>
        <v>7480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IFERROR(__xludf.DUMMYFUNCTION("IMPORTRANGE(""https://docs.google.com/spreadsheets/d/1SX6NBoVAgQJ6U1MVXOaj8PK2l7WJ3RER9xtqwdhxkhw/edit?usp=sharing"",""ชัยนาท!J438"")"),0)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IFERROR(__xludf.DUMMYFUNCTION("IMPORTRANGE(""https://docs.google.com/spreadsheets/d/1SX6NBoVAgQJ6U1MVXOaj8PK2l7WJ3RER9xtqwdhxkhw/edit?usp=sharing"",""ชัยนาท!J439"")"),1)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IFERROR(__xludf.DUMMYFUNCTION("IMPORTRANGE(""https://docs.google.com/spreadsheets/d/1SX6NBoVAgQJ6U1MVXOaj8PK2l7WJ3RER9xtqwdhxkhw/edit?usp=sharing"",""ชัยนาท!J440"")"),1)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IFERROR(__xludf.DUMMYFUNCTION("IMPORTRANGE(""https://docs.google.com/spreadsheets/d/1SX6NBoVAgQJ6U1MVXOaj8PK2l7WJ3RER9xtqwdhxkhw/edit?usp=sharing"",""ชัยนาท!J441"")"),0)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IFERROR(__xludf.DUMMYFUNCTION("IMPORTRANGE(""https://docs.google.com/spreadsheets/d/1SX6NBoVAgQJ6U1MVXOaj8PK2l7WJ3RER9xtqwdhxkhw/edit?usp=sharing"",""ชัยนาท!I442"")"),22)</f>
        <v>22</v>
      </c>
      <c r="J547" s="190">
        <f ca="1">IFERROR(__xludf.DUMMYFUNCTION("IMPORTRANGE(""https://docs.google.com/spreadsheets/d/1SX6NBoVAgQJ6U1MVXOaj8PK2l7WJ3RER9xtqwdhxkhw/edit?usp=sharing"",""ชัยนาท!J442"")"),22)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IFERROR(__xludf.DUMMYFUNCTION("IMPORTRANGE(""https://docs.google.com/spreadsheets/d/1SX6NBoVAgQJ6U1MVXOaj8PK2l7WJ3RER9xtqwdhxkhw/edit?usp=sharing"",""ชัยนาท!J166"")"),0)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IFERROR(__xludf.DUMMYFUNCTION("IMPORTRANGE(""https://docs.google.com/spreadsheets/d/1SX6NBoVAgQJ6U1MVXOaj8PK2l7WJ3RER9xtqwdhxkhw/edit?usp=sharing"",""ชัยนาท!J444"")"),0)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IFERROR(__xludf.DUMMYFUNCTION("IMPORTRANGE(""https://docs.google.com/spreadsheets/d/1SX6NBoVAgQJ6U1MVXOaj8PK2l7WJ3RER9xtqwdhxkhw/edit?usp=sharing"",""ชัยนาท!L447"")"),0)</f>
        <v>0</v>
      </c>
      <c r="M552" s="166"/>
      <c r="N552" s="170">
        <f ca="1">IFERROR(__xludf.DUMMYFUNCTION("IMPORTRANGE(""https://docs.google.com/spreadsheets/d/1SX6NBoVAgQJ6U1MVXOaj8PK2l7WJ3RER9xtqwdhxkhw/edit?usp=sharing"",""ชัยนาท!M447"")"),0)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IFERROR(__xludf.DUMMYFUNCTION("IMPORTRANGE(""https://docs.google.com/spreadsheets/d/1SX6NBoVAgQJ6U1MVXOaj8PK2l7WJ3RER9xtqwdhxkhw/edit?usp=sharing"",""ชัยนาท!L448"")"),0)</f>
        <v>0</v>
      </c>
      <c r="M553" s="167"/>
      <c r="N553" s="170">
        <f ca="1">IFERROR(__xludf.DUMMYFUNCTION("IMPORTRANGE(""https://docs.google.com/spreadsheets/d/1SX6NBoVAgQJ6U1MVXOaj8PK2l7WJ3RER9xtqwdhxkhw/edit?usp=sharing"",""ชัยนาท!M448"")"),0)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IFERROR(__xludf.DUMMYFUNCTION("IMPORTRANGE(""https://docs.google.com/spreadsheets/d/1SX6NBoVAgQJ6U1MVXOaj8PK2l7WJ3RER9xtqwdhxkhw/edit?usp=sharing"",""ชัยนาท!L449"")"),0)</f>
        <v>0</v>
      </c>
      <c r="M554" s="170"/>
      <c r="N554" s="170">
        <f ca="1">IFERROR(__xludf.DUMMYFUNCTION("IMPORTRANGE(""https://docs.google.com/spreadsheets/d/1SX6NBoVAgQJ6U1MVXOaj8PK2l7WJ3RER9xtqwdhxkhw/edit?usp=sharing"",""ชัยนาท!M449"")"),0)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IFERROR(__xludf.DUMMYFUNCTION("IMPORTRANGE(""https://docs.google.com/spreadsheets/d/1SX6NBoVAgQJ6U1MVXOaj8PK2l7WJ3RER9xtqwdhxkhw/edit?usp=sharing"",""ชัยนาท!L450"")"),0)</f>
        <v>0</v>
      </c>
      <c r="M555" s="170"/>
      <c r="N555" s="170">
        <f ca="1">IFERROR(__xludf.DUMMYFUNCTION("IMPORTRANGE(""https://docs.google.com/spreadsheets/d/1SX6NBoVAgQJ6U1MVXOaj8PK2l7WJ3RER9xtqwdhxkhw/edit?usp=sharing"",""ชัยนาท!M450"")"),0)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IFERROR(__xludf.DUMMYFUNCTION("IMPORTRANGE(""https://docs.google.com/spreadsheets/d/1SX6NBoVAgQJ6U1MVXOaj8PK2l7WJ3RER9xtqwdhxkhw/edit?usp=sharing"",""ชัยนาท!M451"")"),0)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IFERROR(__xludf.DUMMYFUNCTION("IMPORTRANGE(""https://docs.google.com/spreadsheets/d/1SX6NBoVAgQJ6U1MVXOaj8PK2l7WJ3RER9xtqwdhxkhw/edit?usp=sharing"",""ชัยนาท!M452"")"),0)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IFERROR(__xludf.DUMMYFUNCTION("IMPORTRANGE(""https://docs.google.com/spreadsheets/d/1SX6NBoVAgQJ6U1MVXOaj8PK2l7WJ3RER9xtqwdhxkhw/edit?usp=sharing"",""ชัยนาท!M453"")"),0)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IFERROR(__xludf.DUMMYFUNCTION("IMPORTRANGE(""https://docs.google.com/spreadsheets/d/1SX6NBoVAgQJ6U1MVXOaj8PK2l7WJ3RER9xtqwdhxkhw/edit?usp=sharing"",""ชัยนาท!M454"")"),0)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IFERROR(__xludf.DUMMYFUNCTION("IMPORTRANGE(""https://docs.google.com/spreadsheets/d/1SX6NBoVAgQJ6U1MVXOaj8PK2l7WJ3RER9xtqwdhxkhw/edit?usp=sharing"",""ชัยนาท!I455"")"),0)</f>
        <v>0</v>
      </c>
      <c r="J560" s="164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IFERROR(__xludf.DUMMYFUNCTION("IMPORTRANGE(""https://docs.google.com/spreadsheets/d/1SX6NBoVAgQJ6U1MVXOaj8PK2l7WJ3RER9xtqwdhxkhw/edit?usp=sharing"",""ชัยนาท!I456"")"),0)</f>
        <v>0</v>
      </c>
      <c r="J561" s="205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IFERROR(__xludf.DUMMYFUNCTION("IMPORTRANGE(""https://docs.google.com/spreadsheets/d/1SX6NBoVAgQJ6U1MVXOaj8PK2l7WJ3RER9xtqwdhxkhw/edit?usp=sharing"",""ชัยนาท!I457"")"),0)</f>
        <v>0</v>
      </c>
      <c r="J562" s="205" t="str">
        <f ca="1">IFERROR(__xludf.DUMMYFUNCTION("IMPORTRANGE(""https://docs.google.com/spreadsheets/d/1SX6NBoVAgQJ6U1MVXOaj8PK2l7WJ3RER9xtqwdhxkhw/edit?usp=sharing"",""ชัยนาท!J457"")"),"")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IFERROR(__xludf.DUMMYFUNCTION("IMPORTRANGE(""https://docs.google.com/spreadsheets/d/1SX6NBoVAgQJ6U1MVXOaj8PK2l7WJ3RER9xtqwdhxkhw/edit?usp=sharing"",""ชัยนาท!I458"")"),0)</f>
        <v>0</v>
      </c>
      <c r="J563" s="189" t="str">
        <f ca="1">IFERROR(__xludf.DUMMYFUNCTION("IMPORTRANGE(""https://docs.google.com/spreadsheets/d/1SX6NBoVAgQJ6U1MVXOaj8PK2l7WJ3RER9xtqwdhxkhw/edit?usp=sharing"",""ชัยนาท!J458"")"),"")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IFERROR(__xludf.DUMMYFUNCTION("IMPORTRANGE(""https://docs.google.com/spreadsheets/d/1SX6NBoVAgQJ6U1MVXOaj8PK2l7WJ3RER9xtqwdhxkhw/edit?usp=sharing"",""ชัยนาท!J459"")"),155)</f>
        <v>155</v>
      </c>
      <c r="K564" s="372">
        <f t="shared" ca="1" si="121"/>
        <v>77.5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IFERROR(__xludf.DUMMYFUNCTION("IMPORTRANGE(""https://docs.google.com/spreadsheets/d/1SX6NBoVAgQJ6U1MVXOaj8PK2l7WJ3RER9xtqwdhxkhw/edit?usp=sharing"",""ชัยนาท!M459"")"),49025)</f>
        <v>49025</v>
      </c>
      <c r="O564" s="373">
        <f t="shared" ref="O564:O568" ca="1" si="122">+IF(L564&gt;0,N564*100/L564,0)</f>
        <v>39.282852564102562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IFERROR(__xludf.DUMMYFUNCTION("IMPORTRANGE(""https://docs.google.com/spreadsheets/d/1SX6NBoVAgQJ6U1MVXOaj8PK2l7WJ3RER9xtqwdhxkhw/edit?usp=sharing"",""ชัยนาท!L460"")"),0)</f>
        <v>0</v>
      </c>
      <c r="M565" s="166"/>
      <c r="N565" s="170">
        <f ca="1">IFERROR(__xludf.DUMMYFUNCTION("IMPORTRANGE(""https://docs.google.com/spreadsheets/d/1SX6NBoVAgQJ6U1MVXOaj8PK2l7WJ3RER9xtqwdhxkhw/edit?usp=sharing"",""ชัยนาท!M460"")"),0)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IFERROR(__xludf.DUMMYFUNCTION("IMPORTRANGE(""https://docs.google.com/spreadsheets/d/1SX6NBoVAgQJ6U1MVXOaj8PK2l7WJ3RER9xtqwdhxkhw/edit?usp=sharing"",""ชัยนาท!L461"")"),124800)</f>
        <v>124800</v>
      </c>
      <c r="M566" s="167"/>
      <c r="N566" s="170">
        <f ca="1">IFERROR(__xludf.DUMMYFUNCTION("IMPORTRANGE(""https://docs.google.com/spreadsheets/d/1SX6NBoVAgQJ6U1MVXOaj8PK2l7WJ3RER9xtqwdhxkhw/edit?usp=sharing"",""ชัยนาท!M461"")"),49025)</f>
        <v>49025</v>
      </c>
      <c r="O566" s="170">
        <f t="shared" ca="1" si="122"/>
        <v>39.282852564102562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IFERROR(__xludf.DUMMYFUNCTION("IMPORTRANGE(""https://docs.google.com/spreadsheets/d/1SX6NBoVAgQJ6U1MVXOaj8PK2l7WJ3RER9xtqwdhxkhw/edit?usp=sharing"",""ชัยนาท!L462"")"),0)</f>
        <v>0</v>
      </c>
      <c r="M567" s="170"/>
      <c r="N567" s="170">
        <f ca="1">IFERROR(__xludf.DUMMYFUNCTION("IMPORTRANGE(""https://docs.google.com/spreadsheets/d/1SX6NBoVAgQJ6U1MVXOaj8PK2l7WJ3RER9xtqwdhxkhw/edit?usp=sharing"",""ชัยนาท!M462"")"),0)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IFERROR(__xludf.DUMMYFUNCTION("IMPORTRANGE(""https://docs.google.com/spreadsheets/d/1SX6NBoVAgQJ6U1MVXOaj8PK2l7WJ3RER9xtqwdhxkhw/edit?usp=sharing"",""ชัยนาท!L463"")"),124800)</f>
        <v>124800</v>
      </c>
      <c r="M568" s="170"/>
      <c r="N568" s="170">
        <f ca="1">IFERROR(__xludf.DUMMYFUNCTION("IMPORTRANGE(""https://docs.google.com/spreadsheets/d/1SX6NBoVAgQJ6U1MVXOaj8PK2l7WJ3RER9xtqwdhxkhw/edit?usp=sharing"",""ชัยนาท!M463"")"),49025)</f>
        <v>49025</v>
      </c>
      <c r="O568" s="170">
        <f t="shared" ca="1" si="122"/>
        <v>39.282852564102562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IFERROR(__xludf.DUMMYFUNCTION("IMPORTRANGE(""https://docs.google.com/spreadsheets/d/1SX6NBoVAgQJ6U1MVXOaj8PK2l7WJ3RER9xtqwdhxkhw/edit?usp=sharing"",""ชัยนาท!M464"")"),0)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IFERROR(__xludf.DUMMYFUNCTION("IMPORTRANGE(""https://docs.google.com/spreadsheets/d/1SX6NBoVAgQJ6U1MVXOaj8PK2l7WJ3RER9xtqwdhxkhw/edit?usp=sharing"",""ชัยนาท!M465"")"),0)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IFERROR(__xludf.DUMMYFUNCTION("IMPORTRANGE(""https://docs.google.com/spreadsheets/d/1SX6NBoVAgQJ6U1MVXOaj8PK2l7WJ3RER9xtqwdhxkhw/edit?usp=sharing"",""ชัยนาท!M466"")"),44000)</f>
        <v>44000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IFERROR(__xludf.DUMMYFUNCTION("IMPORTRANGE(""https://docs.google.com/spreadsheets/d/1SX6NBoVAgQJ6U1MVXOaj8PK2l7WJ3RER9xtqwdhxkhw/edit?usp=sharing"",""ชัยนาท!M467"")"),5025)</f>
        <v>5025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IFERROR(__xludf.DUMMYFUNCTION("IMPORTRANGE(""https://docs.google.com/spreadsheets/d/1SX6NBoVAgQJ6U1MVXOaj8PK2l7WJ3RER9xtqwdhxkhw/edit?usp=sharing"",""ชัยนาท!J468"")"),155)</f>
        <v>155</v>
      </c>
      <c r="K573" s="203">
        <f ca="1">IF(I573&gt;0,J573*100/I573,0)</f>
        <v>77.5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IFERROR(__xludf.DUMMYFUNCTION("IMPORTRANGE(""https://docs.google.com/spreadsheets/d/1SX6NBoVAgQJ6U1MVXOaj8PK2l7WJ3RER9xtqwdhxkhw/edit?usp=sharing"",""ชัยนาท!I470"")"),0)</f>
        <v>0</v>
      </c>
      <c r="J575" s="199">
        <f ca="1">IFERROR(__xludf.DUMMYFUNCTION("IMPORTRANGE(""https://docs.google.com/spreadsheets/d/1SX6NBoVAgQJ6U1MVXOaj8PK2l7WJ3RER9xtqwdhxkhw/edit?usp=sharing"",""ชัยนาท!J470"")"),0)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IFERROR(__xludf.DUMMYFUNCTION("IMPORTRANGE(""https://docs.google.com/spreadsheets/d/1SX6NBoVAgQJ6U1MVXOaj8PK2l7WJ3RER9xtqwdhxkhw/edit?usp=sharing"",""ชัยนาท!I471"")"),0)</f>
        <v>0</v>
      </c>
      <c r="J576" s="199">
        <f ca="1">IFERROR(__xludf.DUMMYFUNCTION("IMPORTRANGE(""https://docs.google.com/spreadsheets/d/1SX6NBoVAgQJ6U1MVXOaj8PK2l7WJ3RER9xtqwdhxkhw/edit?usp=sharing"",""ชัยนาท!J471"")"),0)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IFERROR(__xludf.DUMMYFUNCTION("IMPORTRANGE(""https://docs.google.com/spreadsheets/d/1SX6NBoVAgQJ6U1MVXOaj8PK2l7WJ3RER9xtqwdhxkhw/edit?usp=sharing"",""ชัยนาท!I472"")"),0)</f>
        <v>0</v>
      </c>
      <c r="J577" s="190">
        <f ca="1">IFERROR(__xludf.DUMMYFUNCTION("IMPORTRANGE(""https://docs.google.com/spreadsheets/d/1SX6NBoVAgQJ6U1MVXOaj8PK2l7WJ3RER9xtqwdhxkhw/edit?usp=sharing"",""ชัยนาท!J472"")"),155)</f>
        <v>155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IFERROR(__xludf.DUMMYFUNCTION("IMPORTRANGE(""https://docs.google.com/spreadsheets/d/1SX6NBoVAgQJ6U1MVXOaj8PK2l7WJ3RER9xtqwdhxkhw/edit?usp=sharing"",""ชัยนาท!I473"")"),0)</f>
        <v>0</v>
      </c>
      <c r="J578" s="199">
        <f ca="1">IFERROR(__xludf.DUMMYFUNCTION("IMPORTRANGE(""https://docs.google.com/spreadsheets/d/1SX6NBoVAgQJ6U1MVXOaj8PK2l7WJ3RER9xtqwdhxkhw/edit?usp=sharing"",""ชัยนาท!J473"")"),0)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IFERROR(__xludf.DUMMYFUNCTION("IMPORTRANGE(""https://docs.google.com/spreadsheets/d/1SX6NBoVAgQJ6U1MVXOaj8PK2l7WJ3RER9xtqwdhxkhw/edit?usp=sharing"",""ชัยนาท!I474"")"),0)</f>
        <v>0</v>
      </c>
      <c r="J579" s="199">
        <f ca="1">IFERROR(__xludf.DUMMYFUNCTION("IMPORTRANGE(""https://docs.google.com/spreadsheets/d/1SX6NBoVAgQJ6U1MVXOaj8PK2l7WJ3RER9xtqwdhxkhw/edit?usp=sharing"",""ชัยนาท!J474"")"),0)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IFERROR(__xludf.DUMMYFUNCTION("IMPORTRANGE(""https://docs.google.com/spreadsheets/d/1SX6NBoVAgQJ6U1MVXOaj8PK2l7WJ3RER9xtqwdhxkhw/edit?usp=sharing"",""ชัยนาท!L476"")"),0)</f>
        <v>0</v>
      </c>
      <c r="M581" s="166"/>
      <c r="N581" s="170">
        <f ca="1">IFERROR(__xludf.DUMMYFUNCTION("IMPORTRANGE(""https://docs.google.com/spreadsheets/d/1SX6NBoVAgQJ6U1MVXOaj8PK2l7WJ3RER9xtqwdhxkhw/edit?usp=sharing"",""ชัยนาท!M476"")"),0)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IFERROR(__xludf.DUMMYFUNCTION("IMPORTRANGE(""https://docs.google.com/spreadsheets/d/1SX6NBoVAgQJ6U1MVXOaj8PK2l7WJ3RER9xtqwdhxkhw/edit?usp=sharing"",""ชัยนาท!L477"")"),0)</f>
        <v>0</v>
      </c>
      <c r="M582" s="167"/>
      <c r="N582" s="170">
        <f ca="1">IFERROR(__xludf.DUMMYFUNCTION("IMPORTRANGE(""https://docs.google.com/spreadsheets/d/1SX6NBoVAgQJ6U1MVXOaj8PK2l7WJ3RER9xtqwdhxkhw/edit?usp=sharing"",""ชัยนาท!M477"")"),0)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IFERROR(__xludf.DUMMYFUNCTION("IMPORTRANGE(""https://docs.google.com/spreadsheets/d/1SX6NBoVAgQJ6U1MVXOaj8PK2l7WJ3RER9xtqwdhxkhw/edit?usp=sharing"",""ชัยนาท!L478"")"),0)</f>
        <v>0</v>
      </c>
      <c r="M583" s="170"/>
      <c r="N583" s="170">
        <f ca="1">IFERROR(__xludf.DUMMYFUNCTION("IMPORTRANGE(""https://docs.google.com/spreadsheets/d/1SX6NBoVAgQJ6U1MVXOaj8PK2l7WJ3RER9xtqwdhxkhw/edit?usp=sharing"",""ชัยนาท!M478"")"),0)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IFERROR(__xludf.DUMMYFUNCTION("IMPORTRANGE(""https://docs.google.com/spreadsheets/d/1SX6NBoVAgQJ6U1MVXOaj8PK2l7WJ3RER9xtqwdhxkhw/edit?usp=sharing"",""ชัยนาท!L479"")"),0)</f>
        <v>0</v>
      </c>
      <c r="M584" s="170"/>
      <c r="N584" s="170">
        <f ca="1">IFERROR(__xludf.DUMMYFUNCTION("IMPORTRANGE(""https://docs.google.com/spreadsheets/d/1SX6NBoVAgQJ6U1MVXOaj8PK2l7WJ3RER9xtqwdhxkhw/edit?usp=sharing"",""ชัยนาท!M479"")"),0)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IFERROR(__xludf.DUMMYFUNCTION("IMPORTRANGE(""https://docs.google.com/spreadsheets/d/1SX6NBoVAgQJ6U1MVXOaj8PK2l7WJ3RER9xtqwdhxkhw/edit?usp=sharing"",""ชัยนาท!M480"")"),0)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IFERROR(__xludf.DUMMYFUNCTION("IMPORTRANGE(""https://docs.google.com/spreadsheets/d/1SX6NBoVAgQJ6U1MVXOaj8PK2l7WJ3RER9xtqwdhxkhw/edit?usp=sharing"",""ชัยนาท!M481"")"),0)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IFERROR(__xludf.DUMMYFUNCTION("IMPORTRANGE(""https://docs.google.com/spreadsheets/d/1SX6NBoVAgQJ6U1MVXOaj8PK2l7WJ3RER9xtqwdhxkhw/edit?usp=sharing"",""ชัยนาท!M482"")"),0)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IFERROR(__xludf.DUMMYFUNCTION("IMPORTRANGE(""https://docs.google.com/spreadsheets/d/1SX6NBoVAgQJ6U1MVXOaj8PK2l7WJ3RER9xtqwdhxkhw/edit?usp=sharing"",""ชัยนาท!M483"")"),0)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IFERROR(__xludf.DUMMYFUNCTION("IMPORTRANGE(""https://docs.google.com/spreadsheets/d/1SX6NBoVAgQJ6U1MVXOaj8PK2l7WJ3RER9xtqwdhxkhw/edit?usp=sharing"",""ชัยนาท!I484"")"),0)</f>
        <v>0</v>
      </c>
      <c r="J589" s="189">
        <f ca="1">IFERROR(__xludf.DUMMYFUNCTION("IMPORTRANGE(""https://docs.google.com/spreadsheets/d/1SX6NBoVAgQJ6U1MVXOaj8PK2l7WJ3RER9xtqwdhxkhw/edit?usp=sharing"",""ชัยนาท!J484"")"),0)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9">
        <f ca="1">IFERROR(__xludf.DUMMYFUNCTION("IMPORTRANGE(""https://docs.google.com/spreadsheets/d/1SX6NBoVAgQJ6U1MVXOaj8PK2l7WJ3RER9xtqwdhxkhw/edit?usp=sharing"",""ชัยนาท!J485"")"),0)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IFERROR(__xludf.DUMMYFUNCTION("IMPORTRANGE(""https://docs.google.com/spreadsheets/d/1SX6NBoVAgQJ6U1MVXOaj8PK2l7WJ3RER9xtqwdhxkhw/edit?usp=sharing"",""ชัยนาท!I486"")"),0)</f>
        <v>0</v>
      </c>
      <c r="J591" s="189">
        <f ca="1">IFERROR(__xludf.DUMMYFUNCTION("IMPORTRANGE(""https://docs.google.com/spreadsheets/d/1SX6NBoVAgQJ6U1MVXOaj8PK2l7WJ3RER9xtqwdhxkhw/edit?usp=sharing"",""ชัยนาท!J486"")"),0)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9">
        <f ca="1">IFERROR(__xludf.DUMMYFUNCTION("IMPORTRANGE(""https://docs.google.com/spreadsheets/d/1SX6NBoVAgQJ6U1MVXOaj8PK2l7WJ3RER9xtqwdhxkhw/edit?usp=sharing"",""ชัยนาท!J487"")"),0)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IFERROR(__xludf.DUMMYFUNCTION("IMPORTRANGE(""https://docs.google.com/spreadsheets/d/1SX6NBoVAgQJ6U1MVXOaj8PK2l7WJ3RER9xtqwdhxkhw/edit?usp=sharing"",""ชัยนาท!I488"")"),0)</f>
        <v>0</v>
      </c>
      <c r="J593" s="189">
        <f ca="1">IFERROR(__xludf.DUMMYFUNCTION("IMPORTRANGE(""https://docs.google.com/spreadsheets/d/1SX6NBoVAgQJ6U1MVXOaj8PK2l7WJ3RER9xtqwdhxkhw/edit?usp=sharing"",""ชัยนาท!J488"")"),0)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9">
        <f ca="1">IFERROR(__xludf.DUMMYFUNCTION("IMPORTRANGE(""https://docs.google.com/spreadsheets/d/1SX6NBoVAgQJ6U1MVXOaj8PK2l7WJ3RER9xtqwdhxkhw/edit?usp=sharing"",""ชัยนาท!J489"")"),0)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IFERROR(__xludf.DUMMYFUNCTION("IMPORTRANGE(""https://docs.google.com/spreadsheets/d/1SX6NBoVAgQJ6U1MVXOaj8PK2l7WJ3RER9xtqwdhxkhw/edit?usp=sharing"",""ชัยนาท!I490"")"),0)</f>
        <v>0</v>
      </c>
      <c r="J595" s="189">
        <f ca="1">IFERROR(__xludf.DUMMYFUNCTION("IMPORTRANGE(""https://docs.google.com/spreadsheets/d/1SX6NBoVAgQJ6U1MVXOaj8PK2l7WJ3RER9xtqwdhxkhw/edit?usp=sharing"",""ชัยนาท!J490"")"),0)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7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IFERROR(__xludf.DUMMYFUNCTION("IMPORTRANGE(""https://docs.google.com/spreadsheets/d/1SX6NBoVAgQJ6U1MVXOaj8PK2l7WJ3RER9xtqwdhxkhw/edit?usp=sharing"",""ชัยนาท!M492"")"),1740)</f>
        <v>1740</v>
      </c>
      <c r="O597" s="412">
        <f t="shared" ref="O597:O601" ca="1" si="126">+IF(L597&gt;0,N597*100/L597,0)</f>
        <v>38.241758241758241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IFERROR(__xludf.DUMMYFUNCTION("IMPORTRANGE(""https://docs.google.com/spreadsheets/d/1SX6NBoVAgQJ6U1MVXOaj8PK2l7WJ3RER9xtqwdhxkhw/edit?usp=sharing"",""ชัยนาท!L493"")"),0)</f>
        <v>0</v>
      </c>
      <c r="M598" s="166"/>
      <c r="N598" s="170">
        <f ca="1">IFERROR(__xludf.DUMMYFUNCTION("IMPORTRANGE(""https://docs.google.com/spreadsheets/d/1SX6NBoVAgQJ6U1MVXOaj8PK2l7WJ3RER9xtqwdhxkhw/edit?usp=sharing"",""ชัยนาท!M493"")"),0)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IFERROR(__xludf.DUMMYFUNCTION("IMPORTRANGE(""https://docs.google.com/spreadsheets/d/1SX6NBoVAgQJ6U1MVXOaj8PK2l7WJ3RER9xtqwdhxkhw/edit?usp=sharing"",""ชัยนาท!L494"")"),4550)</f>
        <v>4550</v>
      </c>
      <c r="M599" s="167"/>
      <c r="N599" s="170">
        <f ca="1">IFERROR(__xludf.DUMMYFUNCTION("IMPORTRANGE(""https://docs.google.com/spreadsheets/d/1SX6NBoVAgQJ6U1MVXOaj8PK2l7WJ3RER9xtqwdhxkhw/edit?usp=sharing"",""ชัยนาท!M494"")"),1740)</f>
        <v>1740</v>
      </c>
      <c r="O599" s="170">
        <f t="shared" ca="1" si="126"/>
        <v>38.241758241758241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IFERROR(__xludf.DUMMYFUNCTION("IMPORTRANGE(""https://docs.google.com/spreadsheets/d/1SX6NBoVAgQJ6U1MVXOaj8PK2l7WJ3RER9xtqwdhxkhw/edit?usp=sharing"",""ชัยนาท!L495"")"),0)</f>
        <v>0</v>
      </c>
      <c r="M600" s="170"/>
      <c r="N600" s="170">
        <f ca="1">IFERROR(__xludf.DUMMYFUNCTION("IMPORTRANGE(""https://docs.google.com/spreadsheets/d/1SX6NBoVAgQJ6U1MVXOaj8PK2l7WJ3RER9xtqwdhxkhw/edit?usp=sharing"",""ชัยนาท!M495"")"),0)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IFERROR(__xludf.DUMMYFUNCTION("IMPORTRANGE(""https://docs.google.com/spreadsheets/d/1SX6NBoVAgQJ6U1MVXOaj8PK2l7WJ3RER9xtqwdhxkhw/edit?usp=sharing"",""ชัยนาท!L496"")"),4550)</f>
        <v>4550</v>
      </c>
      <c r="M601" s="170"/>
      <c r="N601" s="170">
        <f ca="1">IFERROR(__xludf.DUMMYFUNCTION("IMPORTRANGE(""https://docs.google.com/spreadsheets/d/1SX6NBoVAgQJ6U1MVXOaj8PK2l7WJ3RER9xtqwdhxkhw/edit?usp=sharing"",""ชัยนาท!M496"")"),1740)</f>
        <v>1740</v>
      </c>
      <c r="O601" s="170">
        <f t="shared" ca="1" si="126"/>
        <v>38.241758241758241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IFERROR(__xludf.DUMMYFUNCTION("IMPORTRANGE(""https://docs.google.com/spreadsheets/d/1SX6NBoVAgQJ6U1MVXOaj8PK2l7WJ3RER9xtqwdhxkhw/edit?usp=sharing"",""ชัยนาท!M497"")"),0)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IFERROR(__xludf.DUMMYFUNCTION("IMPORTRANGE(""https://docs.google.com/spreadsheets/d/1SX6NBoVAgQJ6U1MVXOaj8PK2l7WJ3RER9xtqwdhxkhw/edit?usp=sharing"",""ชัยนาท!M498"")"),0)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IFERROR(__xludf.DUMMYFUNCTION("IMPORTRANGE(""https://docs.google.com/spreadsheets/d/1SX6NBoVAgQJ6U1MVXOaj8PK2l7WJ3RER9xtqwdhxkhw/edit?usp=sharing"",""ชัยนาท!M500"")"),1740)</f>
        <v>1740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IFERROR(__xludf.DUMMYFUNCTION("IMPORTRANGE(""https://docs.google.com/spreadsheets/d/1SX6NBoVAgQJ6U1MVXOaj8PK2l7WJ3RER9xtqwdhxkhw/edit?usp=sharing"",""ชัยนาท!J502"")"),0)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IFERROR(__xludf.DUMMYFUNCTION("IMPORTRANGE(""https://docs.google.com/spreadsheets/d/1SX6NBoVAgQJ6U1MVXOaj8PK2l7WJ3RER9xtqwdhxkhw/edit?usp=sharing"",""ชัยนาท!J503"")"),0)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IFERROR(__xludf.DUMMYFUNCTION("IMPORTRANGE(""https://docs.google.com/spreadsheets/d/1SX6NBoVAgQJ6U1MVXOaj8PK2l7WJ3RER9xtqwdhxkhw/edit?usp=sharing"",""ชัยนาท!I506"")"),50)</f>
        <v>50</v>
      </c>
      <c r="J611" s="164">
        <f ca="1">IFERROR(__xludf.DUMMYFUNCTION("IMPORTRANGE(""https://docs.google.com/spreadsheets/d/1SX6NBoVAgQJ6U1MVXOaj8PK2l7WJ3RER9xtqwdhxkhw/edit?usp=sharing"",""ชัยนาท!J506"")"),0)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IFERROR(__xludf.DUMMYFUNCTION("IMPORTRANGE(""https://docs.google.com/spreadsheets/d/1SX6NBoVAgQJ6U1MVXOaj8PK2l7WJ3RER9xtqwdhxkhw/edit?usp=sharing"",""ชัยนาท!I507"")"),0)</f>
        <v>0</v>
      </c>
      <c r="J612" s="199">
        <f ca="1">IFERROR(__xludf.DUMMYFUNCTION("IMPORTRANGE(""https://docs.google.com/spreadsheets/d/1SX6NBoVAgQJ6U1MVXOaj8PK2l7WJ3RER9xtqwdhxkhw/edit?usp=sharing"",""ชัยนาท!J507"")"),0)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IFERROR(__xludf.DUMMYFUNCTION("IMPORTRANGE(""https://docs.google.com/spreadsheets/d/1SX6NBoVAgQJ6U1MVXOaj8PK2l7WJ3RER9xtqwdhxkhw/edit?usp=sharing"",""ชัยนาท!I508"")"),0)</f>
        <v>0</v>
      </c>
      <c r="J613" s="199">
        <f ca="1">IFERROR(__xludf.DUMMYFUNCTION("IMPORTRANGE(""https://docs.google.com/spreadsheets/d/1SX6NBoVAgQJ6U1MVXOaj8PK2l7WJ3RER9xtqwdhxkhw/edit?usp=sharing"",""ชัยนาท!J508"")"),0)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IFERROR(__xludf.DUMMYFUNCTION("IMPORTRANGE(""https://docs.google.com/spreadsheets/d/1SX6NBoVAgQJ6U1MVXOaj8PK2l7WJ3RER9xtqwdhxkhw/edit?usp=sharing"",""ชัยนาท!I509"")"),0)</f>
        <v>0</v>
      </c>
      <c r="J614" s="199">
        <f ca="1">IFERROR(__xludf.DUMMYFUNCTION("IMPORTRANGE(""https://docs.google.com/spreadsheets/d/1SX6NBoVAgQJ6U1MVXOaj8PK2l7WJ3RER9xtqwdhxkhw/edit?usp=sharing"",""ชัยนาท!J509"")"),0)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IFERROR(__xludf.DUMMYFUNCTION("IMPORTRANGE(""https://docs.google.com/spreadsheets/d/1SX6NBoVAgQJ6U1MVXOaj8PK2l7WJ3RER9xtqwdhxkhw/edit?usp=sharing"",""ชัยนาท!I510"")"),0)</f>
        <v>0</v>
      </c>
      <c r="J615" s="199">
        <f ca="1">IFERROR(__xludf.DUMMYFUNCTION("IMPORTRANGE(""https://docs.google.com/spreadsheets/d/1SX6NBoVAgQJ6U1MVXOaj8PK2l7WJ3RER9xtqwdhxkhw/edit?usp=sharing"",""ชัยนาท!J510"")"),0)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IFERROR(__xludf.DUMMYFUNCTION("IMPORTRANGE(""https://docs.google.com/spreadsheets/d/1SX6NBoVAgQJ6U1MVXOaj8PK2l7WJ3RER9xtqwdhxkhw/edit?usp=sharing"",""ชัยนาท!I511"")"),0)</f>
        <v>0</v>
      </c>
      <c r="J616" s="199">
        <f ca="1">IFERROR(__xludf.DUMMYFUNCTION("IMPORTRANGE(""https://docs.google.com/spreadsheets/d/1SX6NBoVAgQJ6U1MVXOaj8PK2l7WJ3RER9xtqwdhxkhw/edit?usp=sharing"",""ชัยนาท!J511"")"),0)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IFERROR(__xludf.DUMMYFUNCTION("IMPORTRANGE(""https://docs.google.com/spreadsheets/d/1SX6NBoVAgQJ6U1MVXOaj8PK2l7WJ3RER9xtqwdhxkhw/edit?usp=sharing"",""ชัยนาท!I512"")"),0)</f>
        <v>0</v>
      </c>
      <c r="J617" s="189">
        <f ca="1">IFERROR(__xludf.DUMMYFUNCTION("IMPORTRANGE(""https://docs.google.com/spreadsheets/d/1SX6NBoVAgQJ6U1MVXOaj8PK2l7WJ3RER9xtqwdhxkhw/edit?usp=sharing"",""ชัยนาท!J512"")"),0)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IFERROR(__xludf.DUMMYFUNCTION("IMPORTRANGE(""https://docs.google.com/spreadsheets/d/1SX6NBoVAgQJ6U1MVXOaj8PK2l7WJ3RER9xtqwdhxkhw/edit?usp=sharing"",""ชัยนาท!I513"")"),0)</f>
        <v>0</v>
      </c>
      <c r="J618" s="190">
        <f ca="1">IFERROR(__xludf.DUMMYFUNCTION("IMPORTRANGE(""https://docs.google.com/spreadsheets/d/1SX6NBoVAgQJ6U1MVXOaj8PK2l7WJ3RER9xtqwdhxkhw/edit?usp=sharing"",""ชัยนาท!J513"")"),0)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IFERROR(__xludf.DUMMYFUNCTION("IMPORTRANGE(""https://docs.google.com/spreadsheets/d/1SX6NBoVAgQJ6U1MVXOaj8PK2l7WJ3RER9xtqwdhxkhw/edit?usp=sharing"",""ชัยนาท!I514"")"),0)</f>
        <v>0</v>
      </c>
      <c r="J619" s="190">
        <f ca="1">IFERROR(__xludf.DUMMYFUNCTION("IMPORTRANGE(""https://docs.google.com/spreadsheets/d/1SX6NBoVAgQJ6U1MVXOaj8PK2l7WJ3RER9xtqwdhxkhw/edit?usp=sharing"",""ชัยนาท!J514"")"),0)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IFERROR(__xludf.DUMMYFUNCTION("IMPORTRANGE(""https://docs.google.com/spreadsheets/d/1SX6NBoVAgQJ6U1MVXOaj8PK2l7WJ3RER9xtqwdhxkhw/edit?usp=sharing"",""ชัยนาท!I515"")"),0)</f>
        <v>0</v>
      </c>
      <c r="J620" s="204">
        <f ca="1">IFERROR(__xludf.DUMMYFUNCTION("IMPORTRANGE(""https://docs.google.com/spreadsheets/d/1SX6NBoVAgQJ6U1MVXOaj8PK2l7WJ3RER9xtqwdhxkhw/edit?usp=sharing"",""ชัยนาท!J515"")"),0)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IFERROR(__xludf.DUMMYFUNCTION("IMPORTRANGE(""https://docs.google.com/spreadsheets/d/1SX6NBoVAgQJ6U1MVXOaj8PK2l7WJ3RER9xtqwdhxkhw/edit?usp=sharing"",""ชัยนาท!I516"")"),0)</f>
        <v>0</v>
      </c>
      <c r="J621" s="204">
        <f ca="1">IFERROR(__xludf.DUMMYFUNCTION("IMPORTRANGE(""https://docs.google.com/spreadsheets/d/1SX6NBoVAgQJ6U1MVXOaj8PK2l7WJ3RER9xtqwdhxkhw/edit?usp=sharing"",""ชัยนาท!J516"")"),0)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IFERROR(__xludf.DUMMYFUNCTION("IMPORTRANGE(""https://docs.google.com/spreadsheets/d/1SX6NBoVAgQJ6U1MVXOaj8PK2l7WJ3RER9xtqwdhxkhw/edit?usp=sharing"",""ชัยนาท!I517"")"),0)</f>
        <v>0</v>
      </c>
      <c r="J622" s="190">
        <f ca="1">IFERROR(__xludf.DUMMYFUNCTION("IMPORTRANGE(""https://docs.google.com/spreadsheets/d/1SX6NBoVAgQJ6U1MVXOaj8PK2l7WJ3RER9xtqwdhxkhw/edit?usp=sharing"",""ชัยนาท!J517"")"),0)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IFERROR(__xludf.DUMMYFUNCTION("IMPORTRANGE(""https://docs.google.com/spreadsheets/d/1SX6NBoVAgQJ6U1MVXOaj8PK2l7WJ3RER9xtqwdhxkhw/edit?usp=sharing"",""ชัยนาท!I518"")"),0)</f>
        <v>0</v>
      </c>
      <c r="J623" s="190">
        <f ca="1">IFERROR(__xludf.DUMMYFUNCTION("IMPORTRANGE(""https://docs.google.com/spreadsheets/d/1SX6NBoVAgQJ6U1MVXOaj8PK2l7WJ3RER9xtqwdhxkhw/edit?usp=sharing"",""ชัยนาท!J518"")"),0)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IFERROR(__xludf.DUMMYFUNCTION("IMPORTRANGE(""https://docs.google.com/spreadsheets/d/1SX6NBoVAgQJ6U1MVXOaj8PK2l7WJ3RER9xtqwdhxkhw/edit?usp=sharing"",""ชัยนาท!I519"")"),0)</f>
        <v>0</v>
      </c>
      <c r="J624" s="189">
        <f ca="1">IFERROR(__xludf.DUMMYFUNCTION("IMPORTRANGE(""https://docs.google.com/spreadsheets/d/1SX6NBoVAgQJ6U1MVXOaj8PK2l7WJ3RER9xtqwdhxkhw/edit?usp=sharing"",""ชัยนาท!J519"")"),0)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IFERROR(__xludf.DUMMYFUNCTION("IMPORTRANGE(""https://docs.google.com/spreadsheets/d/1SX6NBoVAgQJ6U1MVXOaj8PK2l7WJ3RER9xtqwdhxkhw/edit?usp=sharing"",""ชัยนาท!I520"")"),0)</f>
        <v>0</v>
      </c>
      <c r="J625" s="190">
        <f ca="1">IFERROR(__xludf.DUMMYFUNCTION("IMPORTRANGE(""https://docs.google.com/spreadsheets/d/1SX6NBoVAgQJ6U1MVXOaj8PK2l7WJ3RER9xtqwdhxkhw/edit?usp=sharing"",""ชัยนาท!J520"")"),0)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IFERROR(__xludf.DUMMYFUNCTION("IMPORTRANGE(""https://docs.google.com/spreadsheets/d/1SX6NBoVAgQJ6U1MVXOaj8PK2l7WJ3RER9xtqwdhxkhw/edit?usp=sharing"",""ชัยนาท!I521"")"),0)</f>
        <v>0</v>
      </c>
      <c r="J626" s="190">
        <f ca="1">IFERROR(__xludf.DUMMYFUNCTION("IMPORTRANGE(""https://docs.google.com/spreadsheets/d/1SX6NBoVAgQJ6U1MVXOaj8PK2l7WJ3RER9xtqwdhxkhw/edit?usp=sharing"",""ชัยนาท!J521"")"),0)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IFERROR(__xludf.DUMMYFUNCTION("IMPORTRANGE(""https://docs.google.com/spreadsheets/d/1SX6NBoVAgQJ6U1MVXOaj8PK2l7WJ3RER9xtqwdhxkhw/edit?usp=sharing"",""ชัยนาท!I523"")"),2596068.99)</f>
        <v>2596068.9900000002</v>
      </c>
      <c r="J628" s="341">
        <f ca="1">IFERROR(__xludf.DUMMYFUNCTION("IMPORTRANGE(""https://docs.google.com/spreadsheets/d/1SX6NBoVAgQJ6U1MVXOaj8PK2l7WJ3RER9xtqwdhxkhw/edit?usp=sharing"",""ชัยนาท!J523"")"),589048.2)</f>
        <v>589048.19999999995</v>
      </c>
      <c r="K628" s="342">
        <f t="shared" ref="K628:K635" ca="1" si="129">IF(I628&gt;0,J628*100/I628,0)</f>
        <v>22.690005630397359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IFERROR(__xludf.DUMMYFUNCTION("IMPORTRANGE(""https://docs.google.com/spreadsheets/d/1SX6NBoVAgQJ6U1MVXOaj8PK2l7WJ3RER9xtqwdhxkhw/edit?usp=sharing"",""ชัยนาท!I524"")"),200)</f>
        <v>200</v>
      </c>
      <c r="J629" s="341">
        <f ca="1">IFERROR(__xludf.DUMMYFUNCTION("IMPORTRANGE(""https://docs.google.com/spreadsheets/d/1SX6NBoVAgQJ6U1MVXOaj8PK2l7WJ3RER9xtqwdhxkhw/edit?usp=sharing"",""ชัยนาท!J524"")"),78)</f>
        <v>78</v>
      </c>
      <c r="K629" s="342">
        <f t="shared" ca="1" si="129"/>
        <v>39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1">
        <f ca="1">IFERROR(__xludf.DUMMYFUNCTION("IMPORTRANGE(""https://docs.google.com/spreadsheets/d/1SX6NBoVAgQJ6U1MVXOaj8PK2l7WJ3RER9xtqwdhxkhw/edit?usp=sharing"",""ชัยนาท!J525"")"),357728.77)</f>
        <v>357728.77</v>
      </c>
      <c r="K630" s="342">
        <f t="shared" ca="1" si="129"/>
        <v>5.524881168506516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IFERROR(__xludf.DUMMYFUNCTION("IMPORTRANGE(""https://docs.google.com/spreadsheets/d/1SX6NBoVAgQJ6U1MVXOaj8PK2l7WJ3RER9xtqwdhxkhw/edit?usp=sharing"",""ชัยนาท!I526"")"),297)</f>
        <v>297</v>
      </c>
      <c r="J631" s="341">
        <f ca="1">IFERROR(__xludf.DUMMYFUNCTION("IMPORTRANGE(""https://docs.google.com/spreadsheets/d/1SX6NBoVAgQJ6U1MVXOaj8PK2l7WJ3RER9xtqwdhxkhw/edit?usp=sharing"",""ชัยนาท!J526"")"),93)</f>
        <v>93</v>
      </c>
      <c r="K631" s="342">
        <f t="shared" ca="1" si="129"/>
        <v>31.313131313131311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1">
        <f ca="1">IFERROR(__xludf.DUMMYFUNCTION("IMPORTRANGE(""https://docs.google.com/spreadsheets/d/1SX6NBoVAgQJ6U1MVXOaj8PK2l7WJ3RER9xtqwdhxkhw/edit?usp=sharing"",""ชัยนาท!J527"")"),949228.13)</f>
        <v>949228.13</v>
      </c>
      <c r="K632" s="342">
        <f t="shared" ca="1" si="129"/>
        <v>7.6074524887377075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IFERROR(__xludf.DUMMYFUNCTION("IMPORTRANGE(""https://docs.google.com/spreadsheets/d/1SX6NBoVAgQJ6U1MVXOaj8PK2l7WJ3RER9xtqwdhxkhw/edit?usp=sharing"",""ชัยนาท!I528"")"),351)</f>
        <v>351</v>
      </c>
      <c r="J633" s="341">
        <f ca="1">IFERROR(__xludf.DUMMYFUNCTION("IMPORTRANGE(""https://docs.google.com/spreadsheets/d/1SX6NBoVAgQJ6U1MVXOaj8PK2l7WJ3RER9xtqwdhxkhw/edit?usp=sharing"",""ชัยนาท!J528"")"),91)</f>
        <v>91</v>
      </c>
      <c r="K633" s="342">
        <f t="shared" ca="1" si="129"/>
        <v>25.925925925925927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IFERROR(__xludf.DUMMYFUNCTION("IMPORTRANGE(""https://docs.google.com/spreadsheets/d/1SX6NBoVAgQJ6U1MVXOaj8PK2l7WJ3RER9xtqwdhxkhw/edit?usp=sharing"",""ชัยนาท!I529"")"),4700000)</f>
        <v>4700000</v>
      </c>
      <c r="J634" s="341">
        <f ca="1">IFERROR(__xludf.DUMMYFUNCTION("IMPORTRANGE(""https://docs.google.com/spreadsheets/d/1SX6NBoVAgQJ6U1MVXOaj8PK2l7WJ3RER9xtqwdhxkhw/edit?usp=sharing"",""ชัยนาท!J529"")"),0)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IFERROR(__xludf.DUMMYFUNCTION("IMPORTRANGE(""https://docs.google.com/spreadsheets/d/1SX6NBoVAgQJ6U1MVXOaj8PK2l7WJ3RER9xtqwdhxkhw/edit?usp=sharing"",""ชัยนาท!I530"")"),200)</f>
        <v>200</v>
      </c>
      <c r="J635" s="504">
        <f ca="1">IFERROR(__xludf.DUMMYFUNCTION("IMPORTRANGE(""https://docs.google.com/spreadsheets/d/1SX6NBoVAgQJ6U1MVXOaj8PK2l7WJ3RER9xtqwdhxkhw/edit?usp=sharing"",""ชัยนาท!J530"")"),0)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14" activePane="bottomLeft" state="frozen"/>
      <selection activeCell="J4" sqref="J4"/>
      <selection pane="bottomLeft" activeCell="J556" sqref="J55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248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2779582</v>
      </c>
      <c r="M8" s="23">
        <f t="shared" ca="1" si="0"/>
        <v>1279693</v>
      </c>
      <c r="N8" s="23">
        <f t="shared" ca="1" si="0"/>
        <v>1319858</v>
      </c>
      <c r="O8" s="22">
        <f t="shared" ref="O8:O16" ca="1" si="1">IF(L8&gt;0,N8*100/L8,0)</f>
        <v>47.484046162336639</v>
      </c>
      <c r="P8" s="22">
        <f t="shared" ref="P8:P16" ca="1" si="2">IF(M8&gt;0,N8*100/M8,0)</f>
        <v>103.13864340900513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2779582</v>
      </c>
      <c r="M10" s="30">
        <f t="shared" ca="1" si="4"/>
        <v>1279693</v>
      </c>
      <c r="N10" s="30">
        <f t="shared" ca="1" si="4"/>
        <v>1319858</v>
      </c>
      <c r="O10" s="29">
        <f t="shared" ca="1" si="1"/>
        <v>47.484046162336639</v>
      </c>
      <c r="P10" s="29">
        <f t="shared" ca="1" si="2"/>
        <v>103.13864340900513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2491582</v>
      </c>
      <c r="M12" s="38">
        <f t="shared" ca="1" si="6"/>
        <v>991693</v>
      </c>
      <c r="N12" s="38">
        <f t="shared" ca="1" si="6"/>
        <v>1031858</v>
      </c>
      <c r="O12" s="38">
        <f t="shared" ca="1" si="1"/>
        <v>41.413768441094852</v>
      </c>
      <c r="P12" s="38">
        <f t="shared" ca="1" si="2"/>
        <v>104.05014455078336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1013882</v>
      </c>
      <c r="M14" s="38">
        <f t="shared" si="8"/>
        <v>0</v>
      </c>
      <c r="N14" s="38">
        <f t="shared" ca="1" si="8"/>
        <v>268666</v>
      </c>
      <c r="O14" s="38">
        <f t="shared" ca="1" si="1"/>
        <v>26.498744429825166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2151240</v>
      </c>
      <c r="M18" s="23">
        <f t="shared" ca="1" si="11"/>
        <v>1279693</v>
      </c>
      <c r="N18" s="23">
        <f t="shared" ca="1" si="11"/>
        <v>1051192</v>
      </c>
      <c r="O18" s="22">
        <f t="shared" ref="O18:O20" ca="1" si="12">IF(L18&gt;0,N18*100/L18,0)</f>
        <v>48.864468864468861</v>
      </c>
      <c r="P18" s="22">
        <f t="shared" ref="P18:P26" ca="1" si="13">IF(M18&gt;0,N18*100/M18,0)</f>
        <v>82.14407674340643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2151240</v>
      </c>
      <c r="M20" s="30">
        <f t="shared" ca="1" si="15"/>
        <v>1279693</v>
      </c>
      <c r="N20" s="30">
        <f t="shared" ca="1" si="15"/>
        <v>1051192</v>
      </c>
      <c r="O20" s="29">
        <f t="shared" ca="1" si="12"/>
        <v>48.864468864468861</v>
      </c>
      <c r="P20" s="29">
        <f t="shared" ca="1" si="13"/>
        <v>82.14407674340643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1863240</v>
      </c>
      <c r="M22" s="41">
        <f t="shared" ca="1" si="18"/>
        <v>991693</v>
      </c>
      <c r="N22" s="38">
        <f t="shared" ca="1" si="18"/>
        <v>763192</v>
      </c>
      <c r="O22" s="38">
        <f t="shared" ca="1" si="17"/>
        <v>40.960477447886475</v>
      </c>
      <c r="P22" s="38">
        <f t="shared" ca="1" si="13"/>
        <v>76.958494211414219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385540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628342</v>
      </c>
      <c r="M28" s="23">
        <f t="shared" si="23"/>
        <v>0</v>
      </c>
      <c r="N28" s="23">
        <f t="shared" ca="1" si="23"/>
        <v>268666</v>
      </c>
      <c r="O28" s="22">
        <f t="shared" ref="O28:O30" ca="1" si="24">IF(L28&gt;0,N28*100/L28,0)</f>
        <v>42.757924824379081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628342</v>
      </c>
      <c r="M30" s="30">
        <f t="shared" si="27"/>
        <v>0</v>
      </c>
      <c r="N30" s="30">
        <f t="shared" ca="1" si="27"/>
        <v>268666</v>
      </c>
      <c r="O30" s="29">
        <f t="shared" ca="1" si="24"/>
        <v>42.757924824379081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628342</v>
      </c>
      <c r="M32" s="38">
        <f t="shared" si="30"/>
        <v>0</v>
      </c>
      <c r="N32" s="38">
        <f t="shared" ca="1" si="30"/>
        <v>268666</v>
      </c>
      <c r="O32" s="38">
        <f t="shared" ca="1" si="29"/>
        <v>42.757924824379081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628342</v>
      </c>
      <c r="M34" s="38">
        <f t="shared" si="32"/>
        <v>0</v>
      </c>
      <c r="N34" s="38">
        <f t="shared" ca="1" si="32"/>
        <v>268666</v>
      </c>
      <c r="O34" s="38">
        <f t="shared" ca="1" si="29"/>
        <v>42.757924824379081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2151240</v>
      </c>
      <c r="M37" s="54">
        <f t="shared" ca="1" si="33"/>
        <v>1279693</v>
      </c>
      <c r="N37" s="54">
        <f t="shared" ca="1" si="33"/>
        <v>1051192</v>
      </c>
      <c r="O37" s="55">
        <f t="shared" ca="1" si="29"/>
        <v>48.864468864468861</v>
      </c>
      <c r="P37" s="55">
        <f t="shared" ca="1" si="25"/>
        <v>82.14407674340643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603000</v>
      </c>
      <c r="N41" s="78">
        <f t="shared" ca="1" si="34"/>
        <v>569447</v>
      </c>
      <c r="O41" s="77">
        <f t="shared" ref="O41:O43" ca="1" si="35">IF(L41&gt;0,N41*100/L41,0)</f>
        <v>62.038021570977229</v>
      </c>
      <c r="P41" s="77">
        <f t="shared" ref="P41:P43" ca="1" si="36">IF(M41&gt;0,N41*100/M41,0)</f>
        <v>94.435655058043125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603000</v>
      </c>
      <c r="N43" s="78">
        <f t="shared" ca="1" si="38"/>
        <v>569447</v>
      </c>
      <c r="O43" s="77">
        <f t="shared" ca="1" si="35"/>
        <v>62.038021570977229</v>
      </c>
      <c r="P43" s="77">
        <f t="shared" ca="1" si="36"/>
        <v>94.435655058043125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IFERROR(__xludf.DUMMYFUNCTION("IMPORTRANGE(""https://docs.google.com/spreadsheets/d/1Yj_ptqi66GCucihVvJfMjLAmec39IyEx_6qawtMGysU/edit?usp=sharing"",""สบก!Q64"")"),315000)</f>
        <v>315000</v>
      </c>
      <c r="N45" s="49">
        <f ca="1">IFERROR(__xludf.DUMMYFUNCTION("IMPORTRANGE(""https://docs.google.com/spreadsheets/d/1Yj_ptqi66GCucihVvJfMjLAmec39IyEx_6qawtMGysU/edit?usp=sharing"",""สบก!R64"")"),281447)</f>
        <v>281447</v>
      </c>
      <c r="O45" s="38">
        <f ca="1">IF(L45&gt;0,N45*100/L45,0)</f>
        <v>44.681219241149385</v>
      </c>
      <c r="P45" s="38">
        <f ca="1">IF(M45&gt;0,N45*100/M45,0)</f>
        <v>89.348253968253971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186913</v>
      </c>
      <c r="N53" s="121">
        <f t="shared" ca="1" si="39"/>
        <v>118751</v>
      </c>
      <c r="O53" s="120">
        <f t="shared" ref="O53:O55" ca="1" si="40">IF(L53&gt;0,N53*100/L53,0)</f>
        <v>33.545480225988697</v>
      </c>
      <c r="P53" s="120">
        <f t="shared" ref="P53:P55" ca="1" si="41">IF(M53&gt;0,N53*100/M53,0)</f>
        <v>63.532766581243678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186913</v>
      </c>
      <c r="N55" s="121">
        <f t="shared" ca="1" si="43"/>
        <v>118751</v>
      </c>
      <c r="O55" s="120">
        <f t="shared" ca="1" si="40"/>
        <v>33.545480225988697</v>
      </c>
      <c r="P55" s="120">
        <f t="shared" ca="1" si="41"/>
        <v>63.532766581243678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IFERROR(__xludf.DUMMYFUNCTION("IMPORTRANGE(""https://docs.google.com/spreadsheets/d/1Yj_ptqi66GCucihVvJfMjLAmec39IyEx_6qawtMGysU/edit?usp=sharing"",""สบก!Z64"")"),186913)</f>
        <v>186913</v>
      </c>
      <c r="N57" s="49">
        <f ca="1">IFERROR(__xludf.DUMMYFUNCTION("IMPORTRANGE(""https://docs.google.com/spreadsheets/d/1Yj_ptqi66GCucihVvJfMjLAmec39IyEx_6qawtMGysU/edit?usp=sharing"",""สบก!AA64"")"),118751)</f>
        <v>118751</v>
      </c>
      <c r="O57" s="38">
        <f ca="1">IF(L57&gt;0,N57*100/L57,0)</f>
        <v>33.545480225988697</v>
      </c>
      <c r="P57" s="38">
        <f ca="1">IF(M57&gt;0,N57*100/M57,0)</f>
        <v>63.532766581243678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IFERROR(__xludf.DUMMYFUNCTION("IMPORTRANGE(""https://docs.google.com/spreadsheets/d/1Yj_ptqi66GCucihVvJfMjLAmec39IyEx_6qawtMGysU/edit?usp=sharing"",""สบก!AI64"")"),0)</f>
        <v>0</v>
      </c>
      <c r="N70" s="170">
        <f ca="1">IFERROR(__xludf.DUMMYFUNCTION("IMPORTRANGE(""https://docs.google.com/spreadsheets/d/1Yj_ptqi66GCucihVvJfMjLAmec39IyEx_6qawtMGysU/edit?usp=sharing"",""สบก!AJ64"")"),0)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IFERROR(__xludf.DUMMYFUNCTION("IMPORTRANGE(""https://docs.google.com/spreadsheets/d/1Yj_ptqi66GCucihVvJfMjLAmec39IyEx_6qawtMGysU/edit?usp=sharing"",""สบก!AE64"")"),0)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IFERROR(__xludf.DUMMYFUNCTION("IMPORTRANGE(""https://docs.google.com/spreadsheets/d/1Yj_ptqi66GCucihVvJfMjLAmec39IyEx_6qawtMGysU/edit?usp=sharing"",""สบก!AF64"")"),0)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IFERROR(__xludf.DUMMYFUNCTION("IMPORTRANGE(""https://docs.google.com/spreadsheets/d/1SX6NBoVAgQJ6U1MVXOaj8PK2l7WJ3RER9xtqwdhxkhw/edit?usp=sharing"",""ตราด!J16"")"),0)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IFERROR(__xludf.DUMMYFUNCTION("IMPORTRANGE(""https://docs.google.com/spreadsheets/d/1SX6NBoVAgQJ6U1MVXOaj8PK2l7WJ3RER9xtqwdhxkhw/edit?usp=sharing"",""ตราด!J17"")"),0)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IFERROR(__xludf.DUMMYFUNCTION("IMPORTRANGE(""https://docs.google.com/spreadsheets/d/1SX6NBoVAgQJ6U1MVXOaj8PK2l7WJ3RER9xtqwdhxkhw/edit?usp=sharing"",""ตราด!J18"")"),0)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IFERROR(__xludf.DUMMYFUNCTION("IMPORTRANGE(""https://docs.google.com/spreadsheets/d/1SX6NBoVAgQJ6U1MVXOaj8PK2l7WJ3RER9xtqwdhxkhw/edit?usp=sharing"",""ตราด!J19"")"),0)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IFERROR(__xludf.DUMMYFUNCTION("IMPORTRANGE(""https://docs.google.com/spreadsheets/d/1SX6NBoVAgQJ6U1MVXOaj8PK2l7WJ3RER9xtqwdhxkhw/edit?usp=sharing"",""ตราด!I20"")"),0)</f>
        <v>0</v>
      </c>
      <c r="J80" s="202">
        <f ca="1">IFERROR(__xludf.DUMMYFUNCTION("IMPORTRANGE(""https://docs.google.com/spreadsheets/d/1SX6NBoVAgQJ6U1MVXOaj8PK2l7WJ3RER9xtqwdhxkhw/edit?usp=sharing"",""ตราด!J20"")"),0)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IFERROR(__xludf.DUMMYFUNCTION("IMPORTRANGE(""https://docs.google.com/spreadsheets/d/1SX6NBoVAgQJ6U1MVXOaj8PK2l7WJ3RER9xtqwdhxkhw/edit?usp=sharing"",""ตราด!I21"")"),0)</f>
        <v>0</v>
      </c>
      <c r="J81" s="202">
        <f ca="1">IFERROR(__xludf.DUMMYFUNCTION("IMPORTRANGE(""https://docs.google.com/spreadsheets/d/1SX6NBoVAgQJ6U1MVXOaj8PK2l7WJ3RER9xtqwdhxkhw/edit?usp=sharing"",""ตราด!J21"")"),0)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IFERROR(__xludf.DUMMYFUNCTION("IMPORTRANGE(""https://docs.google.com/spreadsheets/d/1SX6NBoVAgQJ6U1MVXOaj8PK2l7WJ3RER9xtqwdhxkhw/edit?usp=sharing"",""ตราด!I22"")"),0)</f>
        <v>0</v>
      </c>
      <c r="J82" s="205">
        <f ca="1">IFERROR(__xludf.DUMMYFUNCTION("IMPORTRANGE(""https://docs.google.com/spreadsheets/d/1SX6NBoVAgQJ6U1MVXOaj8PK2l7WJ3RER9xtqwdhxkhw/edit?usp=sharing"",""ตราด!J22"")"),0)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IFERROR(__xludf.DUMMYFUNCTION("IMPORTRANGE(""https://docs.google.com/spreadsheets/d/1SX6NBoVAgQJ6U1MVXOaj8PK2l7WJ3RER9xtqwdhxkhw/edit?usp=sharing"",""ตราด!I23"")"),0)</f>
        <v>0</v>
      </c>
      <c r="J83" s="205">
        <f ca="1">IFERROR(__xludf.DUMMYFUNCTION("IMPORTRANGE(""https://docs.google.com/spreadsheets/d/1SX6NBoVAgQJ6U1MVXOaj8PK2l7WJ3RER9xtqwdhxkhw/edit?usp=sharing"",""ตราด!J23"")"),0)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IFERROR(__xludf.DUMMYFUNCTION("IMPORTRANGE(""https://docs.google.com/spreadsheets/d/1SX6NBoVAgQJ6U1MVXOaj8PK2l7WJ3RER9xtqwdhxkhw/edit?usp=sharing"",""ตราด!I24"")"),0)</f>
        <v>0</v>
      </c>
      <c r="J84" s="190">
        <f ca="1">IFERROR(__xludf.DUMMYFUNCTION("IMPORTRANGE(""https://docs.google.com/spreadsheets/d/1SX6NBoVAgQJ6U1MVXOaj8PK2l7WJ3RER9xtqwdhxkhw/edit?usp=sharing"",""ตราด!J24"")"),0)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IFERROR(__xludf.DUMMYFUNCTION("IMPORTRANGE(""https://docs.google.com/spreadsheets/d/1SX6NBoVAgQJ6U1MVXOaj8PK2l7WJ3RER9xtqwdhxkhw/edit?usp=sharing"",""ตราด!I25"")"),0)</f>
        <v>0</v>
      </c>
      <c r="J85" s="190">
        <f ca="1">IFERROR(__xludf.DUMMYFUNCTION("IMPORTRANGE(""https://docs.google.com/spreadsheets/d/1SX6NBoVAgQJ6U1MVXOaj8PK2l7WJ3RER9xtqwdhxkhw/edit?usp=sharing"",""ตราด!J25"")"),0)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IFERROR(__xludf.DUMMYFUNCTION("IMPORTRANGE(""https://docs.google.com/spreadsheets/d/1SX6NBoVAgQJ6U1MVXOaj8PK2l7WJ3RER9xtqwdhxkhw/edit?usp=sharing"",""ตราด!I26"")"),0)</f>
        <v>0</v>
      </c>
      <c r="J86" s="205">
        <f ca="1">IFERROR(__xludf.DUMMYFUNCTION("IMPORTRANGE(""https://docs.google.com/spreadsheets/d/1SX6NBoVAgQJ6U1MVXOaj8PK2l7WJ3RER9xtqwdhxkhw/edit?usp=sharing"",""ตราด!J26"")"),0)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IFERROR(__xludf.DUMMYFUNCTION("IMPORTRANGE(""https://docs.google.com/spreadsheets/d/1SX6NBoVAgQJ6U1MVXOaj8PK2l7WJ3RER9xtqwdhxkhw/edit?usp=sharing"",""ตราด!I27"")"),0)</f>
        <v>0</v>
      </c>
      <c r="J87" s="205">
        <f ca="1">IFERROR(__xludf.DUMMYFUNCTION("IMPORTRANGE(""https://docs.google.com/spreadsheets/d/1SX6NBoVAgQJ6U1MVXOaj8PK2l7WJ3RER9xtqwdhxkhw/edit?usp=sharing"",""ตราด!J27"")"),0)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IFERROR(__xludf.DUMMYFUNCTION("IMPORTRANGE(""https://docs.google.com/spreadsheets/d/1SX6NBoVAgQJ6U1MVXOaj8PK2l7WJ3RER9xtqwdhxkhw/edit?usp=sharing"",""ตราด!I28"")"),0)</f>
        <v>0</v>
      </c>
      <c r="J88" s="205">
        <f ca="1">IFERROR(__xludf.DUMMYFUNCTION("IMPORTRANGE(""https://docs.google.com/spreadsheets/d/1SX6NBoVAgQJ6U1MVXOaj8PK2l7WJ3RER9xtqwdhxkhw/edit?usp=sharing"",""ตราด!J28"")"),0)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IFERROR(__xludf.DUMMYFUNCTION("IMPORTRANGE(""https://docs.google.com/spreadsheets/d/1SX6NBoVAgQJ6U1MVXOaj8PK2l7WJ3RER9xtqwdhxkhw/edit?usp=sharing"",""ตราด!J29"")"),0)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IFERROR(__xludf.DUMMYFUNCTION("IMPORTRANGE(""https://docs.google.com/spreadsheets/d/1SX6NBoVAgQJ6U1MVXOaj8PK2l7WJ3RER9xtqwdhxkhw/edit?usp=sharing"",""ตราด!J30"")"),0)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IFERROR(__xludf.DUMMYFUNCTION("IMPORTRANGE(""https://docs.google.com/spreadsheets/d/1Yj_ptqi66GCucihVvJfMjLAmec39IyEx_6qawtMGysU/edit?usp=sharing"",""สบก!AR64"")"),0)</f>
        <v>0</v>
      </c>
      <c r="N98" s="170">
        <f ca="1">IFERROR(__xludf.DUMMYFUNCTION("IMPORTRANGE(""https://docs.google.com/spreadsheets/d/1Yj_ptqi66GCucihVvJfMjLAmec39IyEx_6qawtMGysU/edit?usp=sharing"",""สบก!AS64"")"),0)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IFERROR(__xludf.DUMMYFUNCTION("IMPORTRANGE(""https://docs.google.com/spreadsheets/d/1Yj_ptqi66GCucihVvJfMjLAmec39IyEx_6qawtMGysU/edit?usp=sharing"",""สบก!AN64"")"),0)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IFERROR(__xludf.DUMMYFUNCTION("IMPORTRANGE(""https://docs.google.com/spreadsheets/d/1Yj_ptqi66GCucihVvJfMjLAmec39IyEx_6qawtMGysU/edit?usp=sharing"",""สบก!AO64"")"),0)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IFERROR(__xludf.DUMMYFUNCTION("IMPORTRANGE(""https://docs.google.com/spreadsheets/d/1SX6NBoVAgQJ6U1MVXOaj8PK2l7WJ3RER9xtqwdhxkhw/edit?usp=sharing"",""ตราด!J39"")"),0)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IFERROR(__xludf.DUMMYFUNCTION("IMPORTRANGE(""https://docs.google.com/spreadsheets/d/1SX6NBoVAgQJ6U1MVXOaj8PK2l7WJ3RER9xtqwdhxkhw/edit?usp=sharing"",""ตราด!J40"")"),0)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IFERROR(__xludf.DUMMYFUNCTION("IMPORTRANGE(""https://docs.google.com/spreadsheets/d/1SX6NBoVAgQJ6U1MVXOaj8PK2l7WJ3RER9xtqwdhxkhw/edit?usp=sharing"",""ตราด!J41"")"),0)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IFERROR(__xludf.DUMMYFUNCTION("IMPORTRANGE(""https://docs.google.com/spreadsheets/d/1SX6NBoVAgQJ6U1MVXOaj8PK2l7WJ3RER9xtqwdhxkhw/edit?usp=sharing"",""ตราด!J42"")"),0)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IFERROR(__xludf.DUMMYFUNCTION("IMPORTRANGE(""https://docs.google.com/spreadsheets/d/1SX6NBoVAgQJ6U1MVXOaj8PK2l7WJ3RER9xtqwdhxkhw/edit?usp=sharing"",""ตราด!I43"")"),0)</f>
        <v>0</v>
      </c>
      <c r="J108" s="205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IFERROR(__xludf.DUMMYFUNCTION("IMPORTRANGE(""https://docs.google.com/spreadsheets/d/1SX6NBoVAgQJ6U1MVXOaj8PK2l7WJ3RER9xtqwdhxkhw/edit?usp=sharing"",""ตราด!I44"")"),0)</f>
        <v>0</v>
      </c>
      <c r="J109" s="205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IFERROR(__xludf.DUMMYFUNCTION("IMPORTRANGE(""https://docs.google.com/spreadsheets/d/1SX6NBoVAgQJ6U1MVXOaj8PK2l7WJ3RER9xtqwdhxkhw/edit?usp=sharing"",""ตราด!I45"")"),0)</f>
        <v>0</v>
      </c>
      <c r="J110" s="205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IFERROR(__xludf.DUMMYFUNCTION("IMPORTRANGE(""https://docs.google.com/spreadsheets/d/1SX6NBoVAgQJ6U1MVXOaj8PK2l7WJ3RER9xtqwdhxkhw/edit?usp=sharing"",""ตราด!I46"")"),0)</f>
        <v>0</v>
      </c>
      <c r="J111" s="205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IFERROR(__xludf.DUMMYFUNCTION("IMPORTRANGE(""https://docs.google.com/spreadsheets/d/1SX6NBoVAgQJ6U1MVXOaj8PK2l7WJ3RER9xtqwdhxkhw/edit?usp=sharing"",""ตราด!I47"")"),0)</f>
        <v>0</v>
      </c>
      <c r="J112" s="205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IFERROR(__xludf.DUMMYFUNCTION("IMPORTRANGE(""https://docs.google.com/spreadsheets/d/1SX6NBoVAgQJ6U1MVXOaj8PK2l7WJ3RER9xtqwdhxkhw/edit?usp=sharing"",""ตราด!I48"")"),0)</f>
        <v>0</v>
      </c>
      <c r="J113" s="205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IFERROR(__xludf.DUMMYFUNCTION("IMPORTRANGE(""https://docs.google.com/spreadsheets/d/1SX6NBoVAgQJ6U1MVXOaj8PK2l7WJ3RER9xtqwdhxkhw/edit?usp=sharing"",""ตราด!J49"")"),0)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IFERROR(__xludf.DUMMYFUNCTION("IMPORTRANGE(""https://docs.google.com/spreadsheets/d/1Yj_ptqi66GCucihVvJfMjLAmec39IyEx_6qawtMGysU/edit?usp=sharing"",""สบก!BA64"")"),0)</f>
        <v>0</v>
      </c>
      <c r="N122" s="170">
        <f ca="1">IFERROR(__xludf.DUMMYFUNCTION("IMPORTRANGE(""https://docs.google.com/spreadsheets/d/1Yj_ptqi66GCucihVvJfMjLAmec39IyEx_6qawtMGysU/edit?usp=sharing"",""สบก!BB64"")"),0)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IFERROR(__xludf.DUMMYFUNCTION("IMPORTRANGE(""https://docs.google.com/spreadsheets/d/1Yj_ptqi66GCucihVvJfMjLAmec39IyEx_6qawtMGysU/edit?usp=sharing"",""สบก!AW64"")"),0)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IFERROR(__xludf.DUMMYFUNCTION("IMPORTRANGE(""https://docs.google.com/spreadsheets/d/1Yj_ptqi66GCucihVvJfMjLAmec39IyEx_6qawtMGysU/edit?usp=sharing"",""สบก!AX64"")"),0)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249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IFERROR(__xludf.DUMMYFUNCTION("IMPORTRANGE(""https://docs.google.com/spreadsheets/d/1SX6NBoVAgQJ6U1MVXOaj8PK2l7WJ3RER9xtqwdhxkhw/edit?usp=sharing"",""ตราด!J58"")"),0)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IFERROR(__xludf.DUMMYFUNCTION("IMPORTRANGE(""https://docs.google.com/spreadsheets/d/1SX6NBoVAgQJ6U1MVXOaj8PK2l7WJ3RER9xtqwdhxkhw/edit?usp=sharing"",""ตราด!J59"")"),0)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IFERROR(__xludf.DUMMYFUNCTION("IMPORTRANGE(""https://docs.google.com/spreadsheets/d/1SX6NBoVAgQJ6U1MVXOaj8PK2l7WJ3RER9xtqwdhxkhw/edit?usp=sharing"",""ตราด!J60"")"),0)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IFERROR(__xludf.DUMMYFUNCTION("IMPORTRANGE(""https://docs.google.com/spreadsheets/d/1SX6NBoVAgQJ6U1MVXOaj8PK2l7WJ3RER9xtqwdhxkhw/edit?usp=sharing"",""ตราด!J61"")"),0)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IFERROR(__xludf.DUMMYFUNCTION("IMPORTRANGE(""https://docs.google.com/spreadsheets/d/1SX6NBoVAgQJ6U1MVXOaj8PK2l7WJ3RER9xtqwdhxkhw/edit?usp=sharing"",""ตราด!I62"")"),0)</f>
        <v>0</v>
      </c>
      <c r="J132" s="205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IFERROR(__xludf.DUMMYFUNCTION("IMPORTRANGE(""https://docs.google.com/spreadsheets/d/1SX6NBoVAgQJ6U1MVXOaj8PK2l7WJ3RER9xtqwdhxkhw/edit?usp=sharing"",""ตราด!I63"")"),0)</f>
        <v>0</v>
      </c>
      <c r="J133" s="205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IFERROR(__xludf.DUMMYFUNCTION("IMPORTRANGE(""https://docs.google.com/spreadsheets/d/1SX6NBoVAgQJ6U1MVXOaj8PK2l7WJ3RER9xtqwdhxkhw/edit?usp=sharing"",""ตราด!J64"")"),0)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43100</v>
      </c>
      <c r="M140" s="152">
        <f t="shared" ca="1" si="64"/>
        <v>35750</v>
      </c>
      <c r="N140" s="152">
        <f t="shared" ca="1" si="64"/>
        <v>29120</v>
      </c>
      <c r="O140" s="151">
        <f t="shared" ref="O140:O142" ca="1" si="65">IF(L140&gt;0,N140*100/L140,0)</f>
        <v>67.56380510440836</v>
      </c>
      <c r="P140" s="151">
        <f t="shared" ref="P140:P142" ca="1" si="66">IF(M140&gt;0,N140*100/M140,0)</f>
        <v>81.454545454545453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43100</v>
      </c>
      <c r="M142" s="157">
        <f t="shared" ca="1" si="68"/>
        <v>35750</v>
      </c>
      <c r="N142" s="157">
        <f t="shared" ca="1" si="68"/>
        <v>29120</v>
      </c>
      <c r="O142" s="156">
        <f t="shared" ca="1" si="65"/>
        <v>67.56380510440836</v>
      </c>
      <c r="P142" s="156">
        <f t="shared" ca="1" si="66"/>
        <v>81.454545454545453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43100</v>
      </c>
      <c r="M144" s="169">
        <f ca="1">IFERROR(__xludf.DUMMYFUNCTION("IMPORTRANGE(""https://docs.google.com/spreadsheets/d/1Yj_ptqi66GCucihVvJfMjLAmec39IyEx_6qawtMGysU/edit?usp=sharing"",""สบก!BJ64"")"),35750)</f>
        <v>35750</v>
      </c>
      <c r="N144" s="170">
        <f ca="1">IFERROR(__xludf.DUMMYFUNCTION("IMPORTRANGE(""https://docs.google.com/spreadsheets/d/1Yj_ptqi66GCucihVvJfMjLAmec39IyEx_6qawtMGysU/edit?usp=sharing"",""สบก!BK64"")"),29120)</f>
        <v>29120</v>
      </c>
      <c r="O144" s="170">
        <f ca="1">IF(L144&gt;0,N144*100/L144,0)</f>
        <v>67.56380510440836</v>
      </c>
      <c r="P144" s="170">
        <f ca="1">IF(M144&gt;0,N144*100/M144,0)</f>
        <v>81.454545454545453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IFERROR(__xludf.DUMMYFUNCTION("IMPORTRANGE(""https://docs.google.com/spreadsheets/d/1Yj_ptqi66GCucihVvJfMjLAmec39IyEx_6qawtMGysU/edit?usp=sharing"",""สบก!BF64"")"),0)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IFERROR(__xludf.DUMMYFUNCTION("IMPORTRANGE(""https://docs.google.com/spreadsheets/d/1Yj_ptqi66GCucihVvJfMjLAmec39IyEx_6qawtMGysU/edit?usp=sharing"",""สบก!BG64"")"),43100)</f>
        <v>43100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IFERROR(__xludf.DUMMYFUNCTION("IMPORTRANGE(""https://docs.google.com/spreadsheets/d/1SX6NBoVAgQJ6U1MVXOaj8PK2l7WJ3RER9xtqwdhxkhw/edit?usp=sharing"",""ตราด!J79"")"),0)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IFERROR(__xludf.DUMMYFUNCTION("IMPORTRANGE(""https://docs.google.com/spreadsheets/d/1SX6NBoVAgQJ6U1MVXOaj8PK2l7WJ3RER9xtqwdhxkhw/edit?usp=sharing"",""ตราด!J80"")"),1)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IFERROR(__xludf.DUMMYFUNCTION("IMPORTRANGE(""https://docs.google.com/spreadsheets/d/1SX6NBoVAgQJ6U1MVXOaj8PK2l7WJ3RER9xtqwdhxkhw/edit?usp=sharing"",""ตราด!J81"")"),1)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IFERROR(__xludf.DUMMYFUNCTION("IMPORTRANGE(""https://docs.google.com/spreadsheets/d/1SX6NBoVAgQJ6U1MVXOaj8PK2l7WJ3RER9xtqwdhxkhw/edit?usp=sharing"",""ตราด!J82"")"),1)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IFERROR(__xludf.DUMMYFUNCTION("IMPORTRANGE(""https://docs.google.com/spreadsheets/d/1SX6NBoVAgQJ6U1MVXOaj8PK2l7WJ3RER9xtqwdhxkhw/edit?usp=sharing"",""ตราด!I83"")"),4)</f>
        <v>4</v>
      </c>
      <c r="J158" s="190">
        <f ca="1">IFERROR(__xludf.DUMMYFUNCTION("IMPORTRANGE(""https://docs.google.com/spreadsheets/d/1SX6NBoVAgQJ6U1MVXOaj8PK2l7WJ3RER9xtqwdhxkhw/edit?usp=sharing"",""ตราด!J83"")"),1)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IFERROR(__xludf.DUMMYFUNCTION("IMPORTRANGE(""https://docs.google.com/spreadsheets/d/1SX6NBoVAgQJ6U1MVXOaj8PK2l7WJ3RER9xtqwdhxkhw/edit?usp=sharing"",""ตราด!J84"")"),19)</f>
        <v>19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IFERROR(__xludf.DUMMYFUNCTION("IMPORTRANGE(""https://docs.google.com/spreadsheets/d/1SX6NBoVAgQJ6U1MVXOaj8PK2l7WJ3RER9xtqwdhxkhw/edit?usp=sharing"",""ตราด!J85"")"),19)</f>
        <v>19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IFERROR(__xludf.DUMMYFUNCTION("IMPORTRANGE(""https://docs.google.com/spreadsheets/d/1SX6NBoVAgQJ6U1MVXOaj8PK2l7WJ3RER9xtqwdhxkhw/edit?usp=sharing"",""ตราด!J86"")"),0)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IFERROR(__xludf.DUMMYFUNCTION("IMPORTRANGE(""https://docs.google.com/spreadsheets/d/1SX6NBoVAgQJ6U1MVXOaj8PK2l7WJ3RER9xtqwdhxkhw/edit?usp=sharing"",""ตราด!J87"")"),0)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IFERROR(__xludf.DUMMYFUNCTION("IMPORTRANGE(""https://docs.google.com/spreadsheets/d/1SX6NBoVAgQJ6U1MVXOaj8PK2l7WJ3RER9xtqwdhxkhw/edit?usp=sharing"",""ตราด!J88"")"),0)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IFERROR(__xludf.DUMMYFUNCTION("IMPORTRANGE(""https://docs.google.com/spreadsheets/d/1SX6NBoVAgQJ6U1MVXOaj8PK2l7WJ3RER9xtqwdhxkhw/edit?usp=sharing"",""ตราด!I89"")"),1)</f>
        <v>1</v>
      </c>
      <c r="J164" s="284">
        <f ca="1">IFERROR(__xludf.DUMMYFUNCTION("IMPORTRANGE(""https://docs.google.com/spreadsheets/d/1SX6NBoVAgQJ6U1MVXOaj8PK2l7WJ3RER9xtqwdhxkhw/edit?usp=sharing"",""ตราด!J89"")"),1)</f>
        <v>1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IFERROR(__xludf.DUMMYFUNCTION("IMPORTRANGE(""https://docs.google.com/spreadsheets/d/1SX6NBoVAgQJ6U1MVXOaj8PK2l7WJ3RER9xtqwdhxkhw/edit?usp=sharing"",""ตราด!J94"")"),0)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IFERROR(__xludf.DUMMYFUNCTION("IMPORTRANGE(""https://docs.google.com/spreadsheets/d/1SX6NBoVAgQJ6U1MVXOaj8PK2l7WJ3RER9xtqwdhxkhw/edit?usp=sharing"",""ตราด!J95"")"),1)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IFERROR(__xludf.DUMMYFUNCTION("IMPORTRANGE(""https://docs.google.com/spreadsheets/d/1SX6NBoVAgQJ6U1MVXOaj8PK2l7WJ3RER9xtqwdhxkhw/edit?usp=sharing"",""ตราด!J96"")"),1)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IFERROR(__xludf.DUMMYFUNCTION("IMPORTRANGE(""https://docs.google.com/spreadsheets/d/1SX6NBoVAgQJ6U1MVXOaj8PK2l7WJ3RER9xtqwdhxkhw/edit?usp=sharing"",""ตราด!J97"")"),1)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IFERROR(__xludf.DUMMYFUNCTION("IMPORTRANGE(""https://docs.google.com/spreadsheets/d/1SX6NBoVAgQJ6U1MVXOaj8PK2l7WJ3RER9xtqwdhxkhw/edit?usp=sharing"",""ตราด!I98"")"),1)</f>
        <v>1</v>
      </c>
      <c r="J173" s="190">
        <f ca="1">IFERROR(__xludf.DUMMYFUNCTION("IMPORTRANGE(""https://docs.google.com/spreadsheets/d/1SX6NBoVAgQJ6U1MVXOaj8PK2l7WJ3RER9xtqwdhxkhw/edit?usp=sharing"",""ตราด!J98"")"),1)</f>
        <v>1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IFERROR(__xludf.DUMMYFUNCTION("IMPORTRANGE(""https://docs.google.com/spreadsheets/d/1SX6NBoVAgQJ6U1MVXOaj8PK2l7WJ3RER9xtqwdhxkhw/edit?usp=sharing"",""ตราด!J99"")"),0)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IFERROR(__xludf.DUMMYFUNCTION("IMPORTRANGE(""https://docs.google.com/spreadsheets/d/1SX6NBoVAgQJ6U1MVXOaj8PK2l7WJ3RER9xtqwdhxkhw/edit?usp=sharing"",""ตราด!J100"")"),0)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IFERROR(__xludf.DUMMYFUNCTION("IMPORTRANGE(""https://docs.google.com/spreadsheets/d/1SX6NBoVAgQJ6U1MVXOaj8PK2l7WJ3RER9xtqwdhxkhw/edit?usp=sharing"",""ตราด!I101"")"),1)</f>
        <v>1</v>
      </c>
      <c r="J176" s="284">
        <f ca="1">IFERROR(__xludf.DUMMYFUNCTION("IMPORTRANGE(""https://docs.google.com/spreadsheets/d/1SX6NBoVAgQJ6U1MVXOaj8PK2l7WJ3RER9xtqwdhxkhw/edit?usp=sharing"",""ตราด!J101"")"),1)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IFERROR(__xludf.DUMMYFUNCTION("IMPORTRANGE(""https://docs.google.com/spreadsheets/d/1SX6NBoVAgQJ6U1MVXOaj8PK2l7WJ3RER9xtqwdhxkhw/edit?usp=sharing"",""ตราด!J106"")"),0)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IFERROR(__xludf.DUMMYFUNCTION("IMPORTRANGE(""https://docs.google.com/spreadsheets/d/1SX6NBoVAgQJ6U1MVXOaj8PK2l7WJ3RER9xtqwdhxkhw/edit?usp=sharing"",""ตราด!J107"")"),1)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IFERROR(__xludf.DUMMYFUNCTION("IMPORTRANGE(""https://docs.google.com/spreadsheets/d/1SX6NBoVAgQJ6U1MVXOaj8PK2l7WJ3RER9xtqwdhxkhw/edit?usp=sharing"",""ตราด!J108"")"),1)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IFERROR(__xludf.DUMMYFUNCTION("IMPORTRANGE(""https://docs.google.com/spreadsheets/d/1SX6NBoVAgQJ6U1MVXOaj8PK2l7WJ3RER9xtqwdhxkhw/edit?usp=sharing"",""ตราด!J109"")"),1)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IFERROR(__xludf.DUMMYFUNCTION("IMPORTRANGE(""https://docs.google.com/spreadsheets/d/1SX6NBoVAgQJ6U1MVXOaj8PK2l7WJ3RER9xtqwdhxkhw/edit?usp=sharing"",""ตราด!I110"")"),1)</f>
        <v>1</v>
      </c>
      <c r="J185" s="205">
        <f ca="1">IFERROR(__xludf.DUMMYFUNCTION("IMPORTRANGE(""https://docs.google.com/spreadsheets/d/1SX6NBoVAgQJ6U1MVXOaj8PK2l7WJ3RER9xtqwdhxkhw/edit?usp=sharing"",""ตราด!J110"")"),0)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IFERROR(__xludf.DUMMYFUNCTION("IMPORTRANGE(""https://docs.google.com/spreadsheets/d/1SX6NBoVAgQJ6U1MVXOaj8PK2l7WJ3RER9xtqwdhxkhw/edit?usp=sharing"",""ตราด!I111"")"),1)</f>
        <v>1</v>
      </c>
      <c r="J186" s="205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IFERROR(__xludf.DUMMYFUNCTION("IMPORTRANGE(""https://docs.google.com/spreadsheets/d/1SX6NBoVAgQJ6U1MVXOaj8PK2l7WJ3RER9xtqwdhxkhw/edit?usp=sharing"",""ตราด!J112"")"),0)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IFERROR(__xludf.DUMMYFUNCTION("IMPORTRANGE(""https://docs.google.com/spreadsheets/d/1SX6NBoVAgQJ6U1MVXOaj8PK2l7WJ3RER9xtqwdhxkhw/edit?usp=sharing"",""ตราด!J113"")"),0)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IFERROR(__xludf.DUMMYFUNCTION("IMPORTRANGE(""https://docs.google.com/spreadsheets/d/1SX6NBoVAgQJ6U1MVXOaj8PK2l7WJ3RER9xtqwdhxkhw/edit?usp=sharing"",""ตราด!I114"")"),3200)</f>
        <v>3200</v>
      </c>
      <c r="J189" s="284">
        <f ca="1">IFERROR(__xludf.DUMMYFUNCTION("IMPORTRANGE(""https://docs.google.com/spreadsheets/d/1SX6NBoVAgQJ6U1MVXOaj8PK2l7WJ3RER9xtqwdhxkhw/edit?usp=sharing"",""ตราด!J114"")"),0)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IFERROR(__xludf.DUMMYFUNCTION("IMPORTRANGE(""https://docs.google.com/spreadsheets/d/1SX6NBoVAgQJ6U1MVXOaj8PK2l7WJ3RER9xtqwdhxkhw/edit?usp=sharing"",""ตราด!J119"")"),1)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IFERROR(__xludf.DUMMYFUNCTION("IMPORTRANGE(""https://docs.google.com/spreadsheets/d/1SX6NBoVAgQJ6U1MVXOaj8PK2l7WJ3RER9xtqwdhxkhw/edit?usp=sharing"",""ตราด!J120"")"),0)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IFERROR(__xludf.DUMMYFUNCTION("IMPORTRANGE(""https://docs.google.com/spreadsheets/d/1SX6NBoVAgQJ6U1MVXOaj8PK2l7WJ3RER9xtqwdhxkhw/edit?usp=sharing"",""ตราด!J121"")"),0)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IFERROR(__xludf.DUMMYFUNCTION("IMPORTRANGE(""https://docs.google.com/spreadsheets/d/1SX6NBoVAgQJ6U1MVXOaj8PK2l7WJ3RER9xtqwdhxkhw/edit?usp=sharing"",""ตราด!J122"")"),0)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IFERROR(__xludf.DUMMYFUNCTION("IMPORTRANGE(""https://docs.google.com/spreadsheets/d/1SX6NBoVAgQJ6U1MVXOaj8PK2l7WJ3RER9xtqwdhxkhw/edit?usp=sharing"",""ตราด!I124"")"),3200)</f>
        <v>3200</v>
      </c>
      <c r="J199" s="190">
        <f ca="1">IFERROR(__xludf.DUMMYFUNCTION("IMPORTRANGE(""https://docs.google.com/spreadsheets/d/1SX6NBoVAgQJ6U1MVXOaj8PK2l7WJ3RER9xtqwdhxkhw/edit?usp=sharing"",""ตราด!J124"")"),0)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IFERROR(__xludf.DUMMYFUNCTION("IMPORTRANGE(""https://docs.google.com/spreadsheets/d/1SX6NBoVAgQJ6U1MVXOaj8PK2l7WJ3RER9xtqwdhxkhw/edit?usp=sharing"",""ตราด!I125"")"),3200)</f>
        <v>3200</v>
      </c>
      <c r="J200" s="190">
        <f ca="1">IFERROR(__xludf.DUMMYFUNCTION("IMPORTRANGE(""https://docs.google.com/spreadsheets/d/1SX6NBoVAgQJ6U1MVXOaj8PK2l7WJ3RER9xtqwdhxkhw/edit?usp=sharing"",""ตราด!J125"")"),0)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IFERROR(__xludf.DUMMYFUNCTION("IMPORTRANGE(""https://docs.google.com/spreadsheets/d/1SX6NBoVAgQJ6U1MVXOaj8PK2l7WJ3RER9xtqwdhxkhw/edit?usp=sharing"",""ตราด!I126"")"),0)</f>
        <v>0</v>
      </c>
      <c r="J201" s="190">
        <f ca="1">IFERROR(__xludf.DUMMYFUNCTION("IMPORTRANGE(""https://docs.google.com/spreadsheets/d/1SX6NBoVAgQJ6U1MVXOaj8PK2l7WJ3RER9xtqwdhxkhw/edit?usp=sharing"",""ตราด!J126"")"),0)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IFERROR(__xludf.DUMMYFUNCTION("IMPORTRANGE(""https://docs.google.com/spreadsheets/d/1SX6NBoVAgQJ6U1MVXOaj8PK2l7WJ3RER9xtqwdhxkhw/edit?usp=sharing"",""ตราด!J127"")"),0)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IFERROR(__xludf.DUMMYFUNCTION("IMPORTRANGE(""https://docs.google.com/spreadsheets/d/1SX6NBoVAgQJ6U1MVXOaj8PK2l7WJ3RER9xtqwdhxkhw/edit?usp=sharing"",""ตราด!J128"")"),0)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IFERROR(__xludf.DUMMYFUNCTION("IMPORTRANGE(""https://docs.google.com/spreadsheets/d/1SX6NBoVAgQJ6U1MVXOaj8PK2l7WJ3RER9xtqwdhxkhw/edit?usp=sharing"",""ตราด!I129"")"),0)</f>
        <v>0</v>
      </c>
      <c r="J204" s="284">
        <f ca="1">IFERROR(__xludf.DUMMYFUNCTION("IMPORTRANGE(""https://docs.google.com/spreadsheets/d/1SX6NBoVAgQJ6U1MVXOaj8PK2l7WJ3RER9xtqwdhxkhw/edit?usp=sharing"",""ตราด!J129"")"),0)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IFERROR(__xludf.DUMMYFUNCTION("IMPORTRANGE(""https://docs.google.com/spreadsheets/d/1SX6NBoVAgQJ6U1MVXOaj8PK2l7WJ3RER9xtqwdhxkhw/edit?usp=sharing"",""ตราด!J134"")"),0)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IFERROR(__xludf.DUMMYFUNCTION("IMPORTRANGE(""https://docs.google.com/spreadsheets/d/1SX6NBoVAgQJ6U1MVXOaj8PK2l7WJ3RER9xtqwdhxkhw/edit?usp=sharing"",""ตราด!J135"")"),0)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IFERROR(__xludf.DUMMYFUNCTION("IMPORTRANGE(""https://docs.google.com/spreadsheets/d/1SX6NBoVAgQJ6U1MVXOaj8PK2l7WJ3RER9xtqwdhxkhw/edit?usp=sharing"",""ตราด!J136"")"),0)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IFERROR(__xludf.DUMMYFUNCTION("IMPORTRANGE(""https://docs.google.com/spreadsheets/d/1SX6NBoVAgQJ6U1MVXOaj8PK2l7WJ3RER9xtqwdhxkhw/edit?usp=sharing"",""ตราด!J137"")"),0)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IFERROR(__xludf.DUMMYFUNCTION("IMPORTRANGE(""https://docs.google.com/spreadsheets/d/1SX6NBoVAgQJ6U1MVXOaj8PK2l7WJ3RER9xtqwdhxkhw/edit?usp=sharing"",""ตราด!I138"")"),0)</f>
        <v>0</v>
      </c>
      <c r="J213" s="205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IFERROR(__xludf.DUMMYFUNCTION("IMPORTRANGE(""https://docs.google.com/spreadsheets/d/1SX6NBoVAgQJ6U1MVXOaj8PK2l7WJ3RER9xtqwdhxkhw/edit?usp=sharing"",""ตราด!I140"")"),0)</f>
        <v>0</v>
      </c>
      <c r="J215" s="205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IFERROR(__xludf.DUMMYFUNCTION("IMPORTRANGE(""https://docs.google.com/spreadsheets/d/1SX6NBoVAgQJ6U1MVXOaj8PK2l7WJ3RER9xtqwdhxkhw/edit?usp=sharing"",""ตราด!I141"")"),0)</f>
        <v>0</v>
      </c>
      <c r="J216" s="205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IFERROR(__xludf.DUMMYFUNCTION("IMPORTRANGE(""https://docs.google.com/spreadsheets/d/1SX6NBoVAgQJ6U1MVXOaj8PK2l7WJ3RER9xtqwdhxkhw/edit?usp=sharing"",""ตราด!J142"")"),0)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169">
        <f ca="1">IFERROR(__xludf.DUMMYFUNCTION("IMPORTRANGE(""https://docs.google.com/spreadsheets/d/1Yj_ptqi66GCucihVvJfMjLAmec39IyEx_6qawtMGysU/edit?usp=sharing"",""สบก!BS64"")"),20210)</f>
        <v>20210</v>
      </c>
      <c r="N224" s="170">
        <f ca="1">IFERROR(__xludf.DUMMYFUNCTION("IMPORTRANGE(""https://docs.google.com/spreadsheets/d/1Yj_ptqi66GCucihVvJfMjLAmec39IyEx_6qawtMGysU/edit?usp=sharing"",""สบก!BT64"")"),20210)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IFERROR(__xludf.DUMMYFUNCTION("IMPORTRANGE(""https://docs.google.com/spreadsheets/d/1Yj_ptqi66GCucihVvJfMjLAmec39IyEx_6qawtMGysU/edit?usp=sharing"",""สบก!BO64"")"),0)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IFERROR(__xludf.DUMMYFUNCTION("IMPORTRANGE(""https://docs.google.com/spreadsheets/d/1Yj_ptqi66GCucihVvJfMjLAmec39IyEx_6qawtMGysU/edit?usp=sharing"",""สบก!BP64"")"),20210)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IFERROR(__xludf.DUMMYFUNCTION("IMPORTRANGE(""https://docs.google.com/spreadsheets/d/1SX6NBoVAgQJ6U1MVXOaj8PK2l7WJ3RER9xtqwdhxkhw/edit?usp=sharing"",""ตราด!J151"")"),0)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IFERROR(__xludf.DUMMYFUNCTION("IMPORTRANGE(""https://docs.google.com/spreadsheets/d/1SX6NBoVAgQJ6U1MVXOaj8PK2l7WJ3RER9xtqwdhxkhw/edit?usp=sharing"",""ตราด!J152"")"),1)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IFERROR(__xludf.DUMMYFUNCTION("IMPORTRANGE(""https://docs.google.com/spreadsheets/d/1SX6NBoVAgQJ6U1MVXOaj8PK2l7WJ3RER9xtqwdhxkhw/edit?usp=sharing"",""ตราด!J153"")"),1)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IFERROR(__xludf.DUMMYFUNCTION("IMPORTRANGE(""https://docs.google.com/spreadsheets/d/1SX6NBoVAgQJ6U1MVXOaj8PK2l7WJ3RER9xtqwdhxkhw/edit?usp=sharing"",""ตราด!J154"")"),1)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IFERROR(__xludf.DUMMYFUNCTION("IMPORTRANGE(""https://docs.google.com/spreadsheets/d/1SX6NBoVAgQJ6U1MVXOaj8PK2l7WJ3RER9xtqwdhxkhw/edit?usp=sharing"",""ตราด!I155"")"),14)</f>
        <v>14</v>
      </c>
      <c r="J235" s="190">
        <f ca="1">IFERROR(__xludf.DUMMYFUNCTION("IMPORTRANGE(""https://docs.google.com/spreadsheets/d/1SX6NBoVAgQJ6U1MVXOaj8PK2l7WJ3RER9xtqwdhxkhw/edit?usp=sharing"",""ตราด!J155"")"),14)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IFERROR(__xludf.DUMMYFUNCTION("IMPORTRANGE(""https://docs.google.com/spreadsheets/d/1SX6NBoVAgQJ6U1MVXOaj8PK2l7WJ3RER9xtqwdhxkhw/edit?usp=sharing"",""ตราด!J156"")"),0)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IFERROR(__xludf.DUMMYFUNCTION("IMPORTRANGE(""https://docs.google.com/spreadsheets/d/1SX6NBoVAgQJ6U1MVXOaj8PK2l7WJ3RER9xtqwdhxkhw/edit?usp=sharing"",""ตราด!J157"")"),0)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IFERROR(__xludf.DUMMYFUNCTION("IMPORTRANGE(""https://docs.google.com/spreadsheets/d/1SX6NBoVAgQJ6U1MVXOaj8PK2l7WJ3RER9xtqwdhxkhw/edit?usp=sharing"",""ตราด!J159"")"),"")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IFERROR(__xludf.DUMMYFUNCTION("IMPORTRANGE(""https://docs.google.com/spreadsheets/d/1SX6NBoVAgQJ6U1MVXOaj8PK2l7WJ3RER9xtqwdhxkhw/edit?usp=sharing"",""ตราด!J161"")"),0)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IFERROR(__xludf.DUMMYFUNCTION("IMPORTRANGE(""https://docs.google.com/spreadsheets/d/1SX6NBoVAgQJ6U1MVXOaj8PK2l7WJ3RER9xtqwdhxkhw/edit?usp=sharing"",""ตราด!J162"")"),0)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IFERROR(__xludf.DUMMYFUNCTION("IMPORTRANGE(""https://docs.google.com/spreadsheets/d/1SX6NBoVAgQJ6U1MVXOaj8PK2l7WJ3RER9xtqwdhxkhw/edit?usp=sharing"",""ตราด!J163"")"),0)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IFERROR(__xludf.DUMMYFUNCTION("IMPORTRANGE(""https://docs.google.com/spreadsheets/d/1SX6NBoVAgQJ6U1MVXOaj8PK2l7WJ3RER9xtqwdhxkhw/edit?usp=sharing"",""ตราด!I164"")"),0)</f>
        <v>0</v>
      </c>
      <c r="J244" s="189">
        <f ca="1">IFERROR(__xludf.DUMMYFUNCTION("IMPORTRANGE(""https://docs.google.com/spreadsheets/d/1SX6NBoVAgQJ6U1MVXOaj8PK2l7WJ3RER9xtqwdhxkhw/edit?usp=sharing"",""ตราด!J164"")"),0)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IFERROR(__xludf.DUMMYFUNCTION("IMPORTRANGE(""https://docs.google.com/spreadsheets/d/1SX6NBoVAgQJ6U1MVXOaj8PK2l7WJ3RER9xtqwdhxkhw/edit?usp=sharing"",""ตราด!J165"")"),0)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IFERROR(__xludf.DUMMYFUNCTION("IMPORTRANGE(""https://docs.google.com/spreadsheets/d/1SX6NBoVAgQJ6U1MVXOaj8PK2l7WJ3RER9xtqwdhxkhw/edit?usp=sharing"",""ตราด!I169"")"),0)</f>
        <v>0</v>
      </c>
      <c r="J249" s="316">
        <f ca="1">IFERROR(__xludf.DUMMYFUNCTION("IMPORTRANGE(""https://docs.google.com/spreadsheets/d/1SX6NBoVAgQJ6U1MVXOaj8PK2l7WJ3RER9xtqwdhxkhw/edit?usp=sharing"",""ตราด!J169"")"),0)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IFERROR(__xludf.DUMMYFUNCTION("IMPORTRANGE(""https://docs.google.com/spreadsheets/d/1Yj_ptqi66GCucihVvJfMjLAmec39IyEx_6qawtMGysU/edit?usp=sharing"",""สบก!CB64"")"),0)</f>
        <v>0</v>
      </c>
      <c r="N254" s="170">
        <f ca="1">IFERROR(__xludf.DUMMYFUNCTION("IMPORTRANGE(""https://docs.google.com/spreadsheets/d/1Yj_ptqi66GCucihVvJfMjLAmec39IyEx_6qawtMGysU/edit?usp=sharing"",""สบก!CC64"")"),0)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IFERROR(__xludf.DUMMYFUNCTION("IMPORTRANGE(""https://docs.google.com/spreadsheets/d/1Yj_ptqi66GCucihVvJfMjLAmec39IyEx_6qawtMGysU/edit?usp=sharing"",""สบก!BX64"")"),0)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IFERROR(__xludf.DUMMYFUNCTION("IMPORTRANGE(""https://docs.google.com/spreadsheets/d/1Yj_ptqi66GCucihVvJfMjLAmec39IyEx_6qawtMGysU/edit?usp=sharing"",""สบก!BY64"")"),0)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IFERROR(__xludf.DUMMYFUNCTION("IMPORTRANGE(""https://docs.google.com/spreadsheets/d/1SX6NBoVAgQJ6U1MVXOaj8PK2l7WJ3RER9xtqwdhxkhw/edit?usp=sharing"",""ตราด!J175"")"),0)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IFERROR(__xludf.DUMMYFUNCTION("IMPORTRANGE(""https://docs.google.com/spreadsheets/d/1SX6NBoVAgQJ6U1MVXOaj8PK2l7WJ3RER9xtqwdhxkhw/edit?usp=sharing"",""ตราด!J176"")"),0)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IFERROR(__xludf.DUMMYFUNCTION("IMPORTRANGE(""https://docs.google.com/spreadsheets/d/1SX6NBoVAgQJ6U1MVXOaj8PK2l7WJ3RER9xtqwdhxkhw/edit?usp=sharing"",""ตราด!J177"")"),0)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IFERROR(__xludf.DUMMYFUNCTION("IMPORTRANGE(""https://docs.google.com/spreadsheets/d/1SX6NBoVAgQJ6U1MVXOaj8PK2l7WJ3RER9xtqwdhxkhw/edit?usp=sharing"",""ตราด!J178"")"),0)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IFERROR(__xludf.DUMMYFUNCTION("IMPORTRANGE(""https://docs.google.com/spreadsheets/d/1SX6NBoVAgQJ6U1MVXOaj8PK2l7WJ3RER9xtqwdhxkhw/edit?usp=sharing"",""ตราด!I179"")"),0)</f>
        <v>0</v>
      </c>
      <c r="J264" s="190">
        <f ca="1">IFERROR(__xludf.DUMMYFUNCTION("IMPORTRANGE(""https://docs.google.com/spreadsheets/d/1SX6NBoVAgQJ6U1MVXOaj8PK2l7WJ3RER9xtqwdhxkhw/edit?usp=sharing"",""ตราด!J179"")"),0)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IFERROR(__xludf.DUMMYFUNCTION("IMPORTRANGE(""https://docs.google.com/spreadsheets/d/1SX6NBoVAgQJ6U1MVXOaj8PK2l7WJ3RER9xtqwdhxkhw/edit?usp=sharing"",""ตราด!I180"")"),0)</f>
        <v>0</v>
      </c>
      <c r="J265" s="190">
        <f ca="1">IFERROR(__xludf.DUMMYFUNCTION("IMPORTRANGE(""https://docs.google.com/spreadsheets/d/1SX6NBoVAgQJ6U1MVXOaj8PK2l7WJ3RER9xtqwdhxkhw/edit?usp=sharing"",""ตราด!J180"")"),0)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IFERROR(__xludf.DUMMYFUNCTION("IMPORTRANGE(""https://docs.google.com/spreadsheets/d/1SX6NBoVAgQJ6U1MVXOaj8PK2l7WJ3RER9xtqwdhxkhw/edit?usp=sharing"",""ตราด!I181"")"),0)</f>
        <v>0</v>
      </c>
      <c r="J266" s="190">
        <f ca="1">IFERROR(__xludf.DUMMYFUNCTION("IMPORTRANGE(""https://docs.google.com/spreadsheets/d/1SX6NBoVAgQJ6U1MVXOaj8PK2l7WJ3RER9xtqwdhxkhw/edit?usp=sharing"",""ตราด!J181"")"),0)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IFERROR(__xludf.DUMMYFUNCTION("IMPORTRANGE(""https://docs.google.com/spreadsheets/d/1SX6NBoVAgQJ6U1MVXOaj8PK2l7WJ3RER9xtqwdhxkhw/edit?usp=sharing"",""ตราด!I182"")"),0)</f>
        <v>0</v>
      </c>
      <c r="J267" s="190">
        <f ca="1">IFERROR(__xludf.DUMMYFUNCTION("IMPORTRANGE(""https://docs.google.com/spreadsheets/d/1SX6NBoVAgQJ6U1MVXOaj8PK2l7WJ3RER9xtqwdhxkhw/edit?usp=sharing"",""ตราด!J182"")"),0)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IFERROR(__xludf.DUMMYFUNCTION("IMPORTRANGE(""https://docs.google.com/spreadsheets/d/1SX6NBoVAgQJ6U1MVXOaj8PK2l7WJ3RER9xtqwdhxkhw/edit?usp=sharing"",""ตราด!J183"")"),0)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IFERROR(__xludf.DUMMYFUNCTION("IMPORTRANGE(""https://docs.google.com/spreadsheets/d/1SX6NBoVAgQJ6U1MVXOaj8PK2l7WJ3RER9xtqwdhxkhw/edit?usp=sharing"",""ตราด!J184"")"),0)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IFERROR(__xludf.DUMMYFUNCTION("IMPORTRANGE(""https://docs.google.com/spreadsheets/d/1SX6NBoVAgQJ6U1MVXOaj8PK2l7WJ3RER9xtqwdhxkhw/edit?usp=sharing"",""ตราด!I185"")"),0)</f>
        <v>0</v>
      </c>
      <c r="J270" s="316">
        <f ca="1">IFERROR(__xludf.DUMMYFUNCTION("IMPORTRANGE(""https://docs.google.com/spreadsheets/d/1SX6NBoVAgQJ6U1MVXOaj8PK2l7WJ3RER9xtqwdhxkhw/edit?usp=sharing"",""ตราด!J185"")"),0)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IFERROR(__xludf.DUMMYFUNCTION("IMPORTRANGE(""https://docs.google.com/spreadsheets/d/1Yj_ptqi66GCucihVvJfMjLAmec39IyEx_6qawtMGysU/edit?usp=sharing"",""สบก!CK64"")"),0)</f>
        <v>0</v>
      </c>
      <c r="N275" s="170">
        <f ca="1">IFERROR(__xludf.DUMMYFUNCTION("IMPORTRANGE(""https://docs.google.com/spreadsheets/d/1Yj_ptqi66GCucihVvJfMjLAmec39IyEx_6qawtMGysU/edit?usp=sharing"",""สบก!CL64"")"),0)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IFERROR(__xludf.DUMMYFUNCTION("IMPORTRANGE(""https://docs.google.com/spreadsheets/d/1Yj_ptqi66GCucihVvJfMjLAmec39IyEx_6qawtMGysU/edit?usp=sharing"",""สบก!CG64"")"),0)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IFERROR(__xludf.DUMMYFUNCTION("IMPORTRANGE(""https://docs.google.com/spreadsheets/d/1Yj_ptqi66GCucihVvJfMjLAmec39IyEx_6qawtMGysU/edit?usp=sharing"",""สบก!CH64"")"),0)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IFERROR(__xludf.DUMMYFUNCTION("IMPORTRANGE(""https://docs.google.com/spreadsheets/d/1SX6NBoVAgQJ6U1MVXOaj8PK2l7WJ3RER9xtqwdhxkhw/edit?usp=sharing"",""ตราด!J191"")"),0)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IFERROR(__xludf.DUMMYFUNCTION("IMPORTRANGE(""https://docs.google.com/spreadsheets/d/1SX6NBoVAgQJ6U1MVXOaj8PK2l7WJ3RER9xtqwdhxkhw/edit?usp=sharing"",""ตราด!J192"")"),0)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IFERROR(__xludf.DUMMYFUNCTION("IMPORTRANGE(""https://docs.google.com/spreadsheets/d/1SX6NBoVAgQJ6U1MVXOaj8PK2l7WJ3RER9xtqwdhxkhw/edit?usp=sharing"",""ตราด!J193"")"),0)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IFERROR(__xludf.DUMMYFUNCTION("IMPORTRANGE(""https://docs.google.com/spreadsheets/d/1SX6NBoVAgQJ6U1MVXOaj8PK2l7WJ3RER9xtqwdhxkhw/edit?usp=sharing"",""ตราด!J194"")"),0)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IFERROR(__xludf.DUMMYFUNCTION("IMPORTRANGE(""https://docs.google.com/spreadsheets/d/1SX6NBoVAgQJ6U1MVXOaj8PK2l7WJ3RER9xtqwdhxkhw/edit?usp=sharing"",""ตราด!I195"")"),0)</f>
        <v>0</v>
      </c>
      <c r="J285" s="190">
        <f ca="1">IFERROR(__xludf.DUMMYFUNCTION("IMPORTRANGE(""https://docs.google.com/spreadsheets/d/1SX6NBoVAgQJ6U1MVXOaj8PK2l7WJ3RER9xtqwdhxkhw/edit?usp=sharing"",""ตราด!J195"")"),0)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IFERROR(__xludf.DUMMYFUNCTION("IMPORTRANGE(""https://docs.google.com/spreadsheets/d/1SX6NBoVAgQJ6U1MVXOaj8PK2l7WJ3RER9xtqwdhxkhw/edit?usp=sharing"",""ตราด!J196"")"),0)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IFERROR(__xludf.DUMMYFUNCTION("IMPORTRANGE(""https://docs.google.com/spreadsheets/d/1SX6NBoVAgQJ6U1MVXOaj8PK2l7WJ3RER9xtqwdhxkhw/edit?usp=sharing"",""ตราด!I199"")"),0)</f>
        <v>0</v>
      </c>
      <c r="J289" s="316">
        <f ca="1">IFERROR(__xludf.DUMMYFUNCTION("IMPORTRANGE(""https://docs.google.com/spreadsheets/d/1SX6NBoVAgQJ6U1MVXOaj8PK2l7WJ3RER9xtqwdhxkhw/edit?usp=sharing"",""ตราด!J199"")"),0)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IFERROR(__xludf.DUMMYFUNCTION("IMPORTRANGE(""https://docs.google.com/spreadsheets/d/1Yj_ptqi66GCucihVvJfMjLAmec39IyEx_6qawtMGysU/edit?usp=sharing"",""สบก!CT64"")"),0)</f>
        <v>0</v>
      </c>
      <c r="N294" s="170">
        <f ca="1">IFERROR(__xludf.DUMMYFUNCTION("IMPORTRANGE(""https://docs.google.com/spreadsheets/d/1Yj_ptqi66GCucihVvJfMjLAmec39IyEx_6qawtMGysU/edit?usp=sharing"",""สบก!CU64"")"),0)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IFERROR(__xludf.DUMMYFUNCTION("IMPORTRANGE(""https://docs.google.com/spreadsheets/d/1Yj_ptqi66GCucihVvJfMjLAmec39IyEx_6qawtMGysU/edit?usp=sharing"",""สบก!CP64"")"),0)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IFERROR(__xludf.DUMMYFUNCTION("IMPORTRANGE(""https://docs.google.com/spreadsheets/d/1Yj_ptqi66GCucihVvJfMjLAmec39IyEx_6qawtMGysU/edit?usp=sharing"",""สบก!CQ64"")"),0)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IFERROR(__xludf.DUMMYFUNCTION("IMPORTRANGE(""https://docs.google.com/spreadsheets/d/1SX6NBoVAgQJ6U1MVXOaj8PK2l7WJ3RER9xtqwdhxkhw/edit?usp=sharing"",""ตราด!J205"")"),0)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IFERROR(__xludf.DUMMYFUNCTION("IMPORTRANGE(""https://docs.google.com/spreadsheets/d/1SX6NBoVAgQJ6U1MVXOaj8PK2l7WJ3RER9xtqwdhxkhw/edit?usp=sharing"",""ตราด!J206"")"),0)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IFERROR(__xludf.DUMMYFUNCTION("IMPORTRANGE(""https://docs.google.com/spreadsheets/d/1SX6NBoVAgQJ6U1MVXOaj8PK2l7WJ3RER9xtqwdhxkhw/edit?usp=sharing"",""ตราด!J207"")"),0)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IFERROR(__xludf.DUMMYFUNCTION("IMPORTRANGE(""https://docs.google.com/spreadsheets/d/1SX6NBoVAgQJ6U1MVXOaj8PK2l7WJ3RER9xtqwdhxkhw/edit?usp=sharing"",""ตราด!J208"")"),0)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IFERROR(__xludf.DUMMYFUNCTION("IMPORTRANGE(""https://docs.google.com/spreadsheets/d/1SX6NBoVAgQJ6U1MVXOaj8PK2l7WJ3RER9xtqwdhxkhw/edit?usp=sharing"",""ตราด!I209"")"),0)</f>
        <v>0</v>
      </c>
      <c r="J304" s="205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IFERROR(__xludf.DUMMYFUNCTION("IMPORTRANGE(""https://docs.google.com/spreadsheets/d/1SX6NBoVAgQJ6U1MVXOaj8PK2l7WJ3RER9xtqwdhxkhw/edit?usp=sharing"",""ตราด!I211"")"),0)</f>
        <v>0</v>
      </c>
      <c r="J306" s="205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IFERROR(__xludf.DUMMYFUNCTION("IMPORTRANGE(""https://docs.google.com/spreadsheets/d/1SX6NBoVAgQJ6U1MVXOaj8PK2l7WJ3RER9xtqwdhxkhw/edit?usp=sharing"",""ตราด!J212"")"),0)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IFERROR(__xludf.DUMMYFUNCTION("IMPORTRANGE(""https://docs.google.com/spreadsheets/d/1SX6NBoVAgQJ6U1MVXOaj8PK2l7WJ3RER9xtqwdhxkhw/edit?usp=sharing"",""ตราด!J213"")"),0)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IFERROR(__xludf.DUMMYFUNCTION("IMPORTRANGE(""https://docs.google.com/spreadsheets/d/1SX6NBoVAgQJ6U1MVXOaj8PK2l7WJ3RER9xtqwdhxkhw/edit?usp=sharing"",""ตราด!I214"")"),0)</f>
        <v>0</v>
      </c>
      <c r="J309" s="333">
        <f ca="1">IFERROR(__xludf.DUMMYFUNCTION("IMPORTRANGE(""https://docs.google.com/spreadsheets/d/1SX6NBoVAgQJ6U1MVXOaj8PK2l7WJ3RER9xtqwdhxkhw/edit?usp=sharing"",""ตราด!J214"")"),0)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IFERROR(__xludf.DUMMYFUNCTION("IMPORTRANGE(""https://docs.google.com/spreadsheets/d/1Yj_ptqi66GCucihVvJfMjLAmec39IyEx_6qawtMGysU/edit?usp=sharing"",""สบก!DC64"")"),0)</f>
        <v>0</v>
      </c>
      <c r="N314" s="170">
        <f ca="1">IFERROR(__xludf.DUMMYFUNCTION("IMPORTRANGE(""https://docs.google.com/spreadsheets/d/1Yj_ptqi66GCucihVvJfMjLAmec39IyEx_6qawtMGysU/edit?usp=sharing"",""สบก!DD64"")"),0)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IFERROR(__xludf.DUMMYFUNCTION("IMPORTRANGE(""https://docs.google.com/spreadsheets/d/1Yj_ptqi66GCucihVvJfMjLAmec39IyEx_6qawtMGysU/edit?usp=sharing"",""สบก!CY64"")"),0)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IFERROR(__xludf.DUMMYFUNCTION("IMPORTRANGE(""https://docs.google.com/spreadsheets/d/1Yj_ptqi66GCucihVvJfMjLAmec39IyEx_6qawtMGysU/edit?usp=sharing"",""สบก!CZ64"")"),0)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IFERROR(__xludf.DUMMYFUNCTION("IMPORTRANGE(""https://docs.google.com/spreadsheets/d/1SX6NBoVAgQJ6U1MVXOaj8PK2l7WJ3RER9xtqwdhxkhw/edit?usp=sharing"",""ตราด!J220"")"),0)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IFERROR(__xludf.DUMMYFUNCTION("IMPORTRANGE(""https://docs.google.com/spreadsheets/d/1SX6NBoVAgQJ6U1MVXOaj8PK2l7WJ3RER9xtqwdhxkhw/edit?usp=sharing"",""ตราด!J221"")"),0)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IFERROR(__xludf.DUMMYFUNCTION("IMPORTRANGE(""https://docs.google.com/spreadsheets/d/1SX6NBoVAgQJ6U1MVXOaj8PK2l7WJ3RER9xtqwdhxkhw/edit?usp=sharing"",""ตราด!J222"")"),0)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IFERROR(__xludf.DUMMYFUNCTION("IMPORTRANGE(""https://docs.google.com/spreadsheets/d/1SX6NBoVAgQJ6U1MVXOaj8PK2l7WJ3RER9xtqwdhxkhw/edit?usp=sharing"",""ตราด!J223"")"),0)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IFERROR(__xludf.DUMMYFUNCTION("IMPORTRANGE(""https://docs.google.com/spreadsheets/d/1SX6NBoVAgQJ6U1MVXOaj8PK2l7WJ3RER9xtqwdhxkhw/edit?usp=sharing"",""ตราด!I224"")"),0)</f>
        <v>0</v>
      </c>
      <c r="J324" s="205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IFERROR(__xludf.DUMMYFUNCTION("IMPORTRANGE(""https://docs.google.com/spreadsheets/d/1SX6NBoVAgQJ6U1MVXOaj8PK2l7WJ3RER9xtqwdhxkhw/edit?usp=sharing"",""ตราด!J225"")"),0)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IFERROR(__xludf.DUMMYFUNCTION("IMPORTRANGE(""https://docs.google.com/spreadsheets/d/1SX6NBoVAgQJ6U1MVXOaj8PK2l7WJ3RER9xtqwdhxkhw/edit?usp=sharing"",""ตราด!I228"")"),170)</f>
        <v>170</v>
      </c>
      <c r="J328" s="339">
        <f ca="1">IFERROR(__xludf.DUMMYFUNCTION("IMPORTRANGE(""https://docs.google.com/spreadsheets/d/1SX6NBoVAgQJ6U1MVXOaj8PK2l7WJ3RER9xtqwdhxkhw/edit?usp=sharing"",""ตราด!J228"")"),26)</f>
        <v>26</v>
      </c>
      <c r="K328" s="317">
        <f ca="1">IF(I328&gt;0,J328*100/I328,0)</f>
        <v>15.294117647058824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816030</v>
      </c>
      <c r="M329" s="152">
        <f t="shared" ca="1" si="98"/>
        <v>433820</v>
      </c>
      <c r="N329" s="152">
        <f t="shared" ca="1" si="98"/>
        <v>313664</v>
      </c>
      <c r="O329" s="151">
        <f t="shared" ref="O329:O331" ca="1" si="99">IF(L329&gt;0,N329*100/L329,0)</f>
        <v>38.437802531769663</v>
      </c>
      <c r="P329" s="151">
        <f t="shared" ref="P329:P331" ca="1" si="100">IF(M329&gt;0,N329*100/M329,0)</f>
        <v>72.302798395647969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816030</v>
      </c>
      <c r="M331" s="157">
        <f t="shared" ca="1" si="102"/>
        <v>433820</v>
      </c>
      <c r="N331" s="157">
        <f t="shared" ca="1" si="102"/>
        <v>313664</v>
      </c>
      <c r="O331" s="156">
        <f t="shared" ca="1" si="99"/>
        <v>38.437802531769663</v>
      </c>
      <c r="P331" s="156">
        <f t="shared" ca="1" si="100"/>
        <v>72.302798395647969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816030</v>
      </c>
      <c r="M333" s="169">
        <f ca="1">IFERROR(__xludf.DUMMYFUNCTION("IMPORTRANGE(""https://docs.google.com/spreadsheets/d/1Yj_ptqi66GCucihVvJfMjLAmec39IyEx_6qawtMGysU/edit?usp=sharing"",""สบก!DL64"")"),433820)</f>
        <v>433820</v>
      </c>
      <c r="N333" s="170">
        <f ca="1">IFERROR(__xludf.DUMMYFUNCTION("IMPORTRANGE(""https://docs.google.com/spreadsheets/d/1Yj_ptqi66GCucihVvJfMjLAmec39IyEx_6qawtMGysU/edit?usp=sharing"",""สบก!DM64"")"),313664)</f>
        <v>313664</v>
      </c>
      <c r="O333" s="170">
        <f ca="1">IF(L333&gt;0,N333*100/L333,0)</f>
        <v>38.437802531769663</v>
      </c>
      <c r="P333" s="170">
        <f ca="1">IF(M333&gt;0,N333*100/M333,0)</f>
        <v>72.302798395647969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IFERROR(__xludf.DUMMYFUNCTION("IMPORTRANGE(""https://docs.google.com/spreadsheets/d/1Yj_ptqi66GCucihVvJfMjLAmec39IyEx_6qawtMGysU/edit?usp=sharing"",""สบก!DH64"")"),493800)</f>
        <v>493800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IFERROR(__xludf.DUMMYFUNCTION("IMPORTRANGE(""https://docs.google.com/spreadsheets/d/1Yj_ptqi66GCucihVvJfMjLAmec39IyEx_6qawtMGysU/edit?usp=sharing"",""สบก!DI64"")"),322230)</f>
        <v>322230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IFERROR(__xludf.DUMMYFUNCTION("IMPORTRANGE(""https://docs.google.com/spreadsheets/d/1SX6NBoVAgQJ6U1MVXOaj8PK2l7WJ3RER9xtqwdhxkhw/edit?usp=sharing"",""ตราด!I234"")"),0)</f>
        <v>0</v>
      </c>
      <c r="J339" s="189">
        <f ca="1">IFERROR(__xludf.DUMMYFUNCTION("IMPORTRANGE(""https://docs.google.com/spreadsheets/d/1SX6NBoVAgQJ6U1MVXOaj8PK2l7WJ3RER9xtqwdhxkhw/edit?usp=sharing"",""ตราด!J234"")"),6)</f>
        <v>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IFERROR(__xludf.DUMMYFUNCTION("IMPORTRANGE(""https://docs.google.com/spreadsheets/d/1SX6NBoVAgQJ6U1MVXOaj8PK2l7WJ3RER9xtqwdhxkhw/edit?usp=sharing"",""ตราด!I235"")"),1600)</f>
        <v>1600</v>
      </c>
      <c r="J340" s="189">
        <f ca="1">IFERROR(__xludf.DUMMYFUNCTION("IMPORTRANGE(""https://docs.google.com/spreadsheets/d/1SX6NBoVAgQJ6U1MVXOaj8PK2l7WJ3RER9xtqwdhxkhw/edit?usp=sharing"",""ตราด!J235"")"),103.86)</f>
        <v>103.86</v>
      </c>
      <c r="K340" s="342">
        <f t="shared" ca="1" si="103"/>
        <v>6.49125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IFERROR(__xludf.DUMMYFUNCTION("IMPORTRANGE(""https://docs.google.com/spreadsheets/d/1SX6NBoVAgQJ6U1MVXOaj8PK2l7WJ3RER9xtqwdhxkhw/edit?usp=sharing"",""ตราด!I236"")"),170)</f>
        <v>170</v>
      </c>
      <c r="J341" s="189">
        <f ca="1">IFERROR(__xludf.DUMMYFUNCTION("IMPORTRANGE(""https://docs.google.com/spreadsheets/d/1SX6NBoVAgQJ6U1MVXOaj8PK2l7WJ3RER9xtqwdhxkhw/edit?usp=sharing"",""ตราด!J236"")"),26)</f>
        <v>26</v>
      </c>
      <c r="K341" s="342">
        <f t="shared" ca="1" si="103"/>
        <v>15.294117647058824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9">
        <f ca="1">IFERROR(__xludf.DUMMYFUNCTION("IMPORTRANGE(""https://docs.google.com/spreadsheets/d/1SX6NBoVAgQJ6U1MVXOaj8PK2l7WJ3RER9xtqwdhxkhw/edit?usp=sharing"",""ตราด!J237"")"),515.47)</f>
        <v>515.47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IFERROR(__xludf.DUMMYFUNCTION("IMPORTRANGE(""https://docs.google.com/spreadsheets/d/1SX6NBoVAgQJ6U1MVXOaj8PK2l7WJ3RER9xtqwdhxkhw/edit?usp=sharing"",""ตราด!I238"")"),170)</f>
        <v>170</v>
      </c>
      <c r="J343" s="189">
        <f ca="1">IFERROR(__xludf.DUMMYFUNCTION("IMPORTRANGE(""https://docs.google.com/spreadsheets/d/1SX6NBoVAgQJ6U1MVXOaj8PK2l7WJ3RER9xtqwdhxkhw/edit?usp=sharing"",""ตราด!J238"")"),0)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9">
        <f ca="1">IFERROR(__xludf.DUMMYFUNCTION("IMPORTRANGE(""https://docs.google.com/spreadsheets/d/1SX6NBoVAgQJ6U1MVXOaj8PK2l7WJ3RER9xtqwdhxkhw/edit?usp=sharing"",""ตราด!J239"")"),0)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IFERROR(__xludf.DUMMYFUNCTION("IMPORTRANGE(""https://docs.google.com/spreadsheets/d/1SX6NBoVAgQJ6U1MVXOaj8PK2l7WJ3RER9xtqwdhxkhw/edit?usp=sharing"",""ตราด!I240"")"),170)</f>
        <v>170</v>
      </c>
      <c r="J345" s="189">
        <f ca="1">IFERROR(__xludf.DUMMYFUNCTION("IMPORTRANGE(""https://docs.google.com/spreadsheets/d/1SX6NBoVAgQJ6U1MVXOaj8PK2l7WJ3RER9xtqwdhxkhw/edit?usp=sharing"",""ตราด!J240"")"),26)</f>
        <v>26</v>
      </c>
      <c r="K345" s="342">
        <f t="shared" ca="1" si="103"/>
        <v>15.294117647058824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9">
        <f ca="1">IFERROR(__xludf.DUMMYFUNCTION("IMPORTRANGE(""https://docs.google.com/spreadsheets/d/1SX6NBoVAgQJ6U1MVXOaj8PK2l7WJ3RER9xtqwdhxkhw/edit?usp=sharing"",""ตราด!J241"")"),515.47)</f>
        <v>515.47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IFERROR(__xludf.DUMMYFUNCTION("IMPORTRANGE(""https://docs.google.com/spreadsheets/d/1SX6NBoVAgQJ6U1MVXOaj8PK2l7WJ3RER9xtqwdhxkhw/edit?usp=sharing"",""ตราด!L242"")"),628342)</f>
        <v>628342</v>
      </c>
      <c r="M347" s="358"/>
      <c r="N347" s="358">
        <f ca="1">IFERROR(__xludf.DUMMYFUNCTION("IMPORTRANGE(""https://docs.google.com/spreadsheets/d/1SX6NBoVAgQJ6U1MVXOaj8PK2l7WJ3RER9xtqwdhxkhw/edit?usp=sharing"",""ตราด!M242"")"),268666)</f>
        <v>268666</v>
      </c>
      <c r="O347" s="358">
        <f ca="1">+IF(L347&gt;0,N347*100/L347,0)</f>
        <v>42.757924824379081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IFERROR(__xludf.DUMMYFUNCTION("IMPORTRANGE(""https://docs.google.com/spreadsheets/d/1SX6NBoVAgQJ6U1MVXOaj8PK2l7WJ3RER9xtqwdhxkhw/edit?usp=sharing"",""ตราด!L246"")"),0)</f>
        <v>0</v>
      </c>
      <c r="M351" s="166"/>
      <c r="N351" s="166">
        <f ca="1">IFERROR(__xludf.DUMMYFUNCTION("IMPORTRANGE(""https://docs.google.com/spreadsheets/d/1SX6NBoVAgQJ6U1MVXOaj8PK2l7WJ3RER9xtqwdhxkhw/edit?usp=sharing"",""ตราด!M246"")"),0)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IFERROR(__xludf.DUMMYFUNCTION("IMPORTRANGE(""https://docs.google.com/spreadsheets/d/1SX6NBoVAgQJ6U1MVXOaj8PK2l7WJ3RER9xtqwdhxkhw/edit?usp=sharing"",""ตราด!L247"")"),0)</f>
        <v>0</v>
      </c>
      <c r="M352" s="167"/>
      <c r="N352" s="166">
        <f ca="1">IFERROR(__xludf.DUMMYFUNCTION("IMPORTRANGE(""https://docs.google.com/spreadsheets/d/1SX6NBoVAgQJ6U1MVXOaj8PK2l7WJ3RER9xtqwdhxkhw/edit?usp=sharing"",""ตราด!M247"")"),0)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IFERROR(__xludf.DUMMYFUNCTION("IMPORTRANGE(""https://docs.google.com/spreadsheets/d/1SX6NBoVAgQJ6U1MVXOaj8PK2l7WJ3RER9xtqwdhxkhw/edit?usp=sharing"",""ตราด!L248"")"),0)</f>
        <v>0</v>
      </c>
      <c r="M353" s="170"/>
      <c r="N353" s="170">
        <f ca="1">IFERROR(__xludf.DUMMYFUNCTION("IMPORTRANGE(""https://docs.google.com/spreadsheets/d/1SX6NBoVAgQJ6U1MVXOaj8PK2l7WJ3RER9xtqwdhxkhw/edit?usp=sharing"",""ตราด!M248"")"),0)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IFERROR(__xludf.DUMMYFUNCTION("IMPORTRANGE(""https://docs.google.com/spreadsheets/d/1SX6NBoVAgQJ6U1MVXOaj8PK2l7WJ3RER9xtqwdhxkhw/edit?usp=sharing"",""ตราด!L249"")"),0)</f>
        <v>0</v>
      </c>
      <c r="M354" s="170"/>
      <c r="N354" s="169">
        <f ca="1">IFERROR(__xludf.DUMMYFUNCTION("IMPORTRANGE(""https://docs.google.com/spreadsheets/d/1SX6NBoVAgQJ6U1MVXOaj8PK2l7WJ3RER9xtqwdhxkhw/edit?usp=sharing"",""ตราด!M249"")"),0)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IFERROR(__xludf.DUMMYFUNCTION("IMPORTRANGE(""https://docs.google.com/spreadsheets/d/1SX6NBoVAgQJ6U1MVXOaj8PK2l7WJ3RER9xtqwdhxkhw/edit?usp=sharing"",""ตราด!M250"")"),0)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IFERROR(__xludf.DUMMYFUNCTION("IMPORTRANGE(""https://docs.google.com/spreadsheets/d/1SX6NBoVAgQJ6U1MVXOaj8PK2l7WJ3RER9xtqwdhxkhw/edit?usp=sharing"",""ตราด!M251"")"),0)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IFERROR(__xludf.DUMMYFUNCTION("IMPORTRANGE(""https://docs.google.com/spreadsheets/d/1SX6NBoVAgQJ6U1MVXOaj8PK2l7WJ3RER9xtqwdhxkhw/edit?usp=sharing"",""ตราด!M252"")"),0)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IFERROR(__xludf.DUMMYFUNCTION("IMPORTRANGE(""https://docs.google.com/spreadsheets/d/1SX6NBoVAgQJ6U1MVXOaj8PK2l7WJ3RER9xtqwdhxkhw/edit?usp=sharing"",""ตราด!M253"")"),0)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IFERROR(__xludf.DUMMYFUNCTION("IMPORTRANGE(""https://docs.google.com/spreadsheets/d/1SX6NBoVAgQJ6U1MVXOaj8PK2l7WJ3RER9xtqwdhxkhw/edit?usp=sharing"",""ตราด!J255"")"),0)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IFERROR(__xludf.DUMMYFUNCTION("IMPORTRANGE(""https://docs.google.com/spreadsheets/d/1SX6NBoVAgQJ6U1MVXOaj8PK2l7WJ3RER9xtqwdhxkhw/edit?usp=sharing"",""ตราด!J256"")"),0)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IFERROR(__xludf.DUMMYFUNCTION("IMPORTRANGE(""https://docs.google.com/spreadsheets/d/1SX6NBoVAgQJ6U1MVXOaj8PK2l7WJ3RER9xtqwdhxkhw/edit?usp=sharing"",""ตราด!J257"")"),0)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IFERROR(__xludf.DUMMYFUNCTION("IMPORTRANGE(""https://docs.google.com/spreadsheets/d/1SX6NBoVAgQJ6U1MVXOaj8PK2l7WJ3RER9xtqwdhxkhw/edit?usp=sharing"",""ตราด!J258"")"),0)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IFERROR(__xludf.DUMMYFUNCTION("IMPORTRANGE(""https://docs.google.com/spreadsheets/d/1SX6NBoVAgQJ6U1MVXOaj8PK2l7WJ3RER9xtqwdhxkhw/edit?usp=sharing"",""ตราด!J166"")"),0)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IFERROR(__xludf.DUMMYFUNCTION("IMPORTRANGE(""https://docs.google.com/spreadsheets/d/1SX6NBoVAgQJ6U1MVXOaj8PK2l7WJ3RER9xtqwdhxkhw/edit?usp=sharing"",""ตราด!J166"")"),0)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IFERROR(__xludf.DUMMYFUNCTION("IMPORTRANGE(""https://docs.google.com/spreadsheets/d/1SX6NBoVAgQJ6U1MVXOaj8PK2l7WJ3RER9xtqwdhxkhw/edit?usp=sharing"",""ตราด!J166"")"),0)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IFERROR(__xludf.DUMMYFUNCTION("IMPORTRANGE(""https://docs.google.com/spreadsheets/d/1SX6NBoVAgQJ6U1MVXOaj8PK2l7WJ3RER9xtqwdhxkhw/edit?usp=sharing"",""ตราด!J166"")"),0)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IFERROR(__xludf.DUMMYFUNCTION("IMPORTRANGE(""https://docs.google.com/spreadsheets/d/1SX6NBoVAgQJ6U1MVXOaj8PK2l7WJ3RER9xtqwdhxkhw/edit?usp=sharing"",""ตราด!I263"")"),0)</f>
        <v>0</v>
      </c>
      <c r="J368" s="189">
        <f ca="1">IFERROR(__xludf.DUMMYFUNCTION("IMPORTRANGE(""https://docs.google.com/spreadsheets/d/1SX6NBoVAgQJ6U1MVXOaj8PK2l7WJ3RER9xtqwdhxkhw/edit?usp=sharing"",""ตราด!J263"")"),0)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IFERROR(__xludf.DUMMYFUNCTION("IMPORTRANGE(""https://docs.google.com/spreadsheets/d/1SX6NBoVAgQJ6U1MVXOaj8PK2l7WJ3RER9xtqwdhxkhw/edit?usp=sharing"",""ตราด!I164"")"),0)</f>
        <v>0</v>
      </c>
      <c r="J369" s="205">
        <f ca="1">IFERROR(__xludf.DUMMYFUNCTION("IMPORTRANGE(""https://docs.google.com/spreadsheets/d/1SX6NBoVAgQJ6U1MVXOaj8PK2l7WJ3RER9xtqwdhxkhw/edit?usp=sharing"",""ตราด!J164"")"),0)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IFERROR(__xludf.DUMMYFUNCTION("IMPORTRANGE(""https://docs.google.com/spreadsheets/d/1SX6NBoVAgQJ6U1MVXOaj8PK2l7WJ3RER9xtqwdhxkhw/edit?usp=sharing"",""ตราด!I265"")"),0)</f>
        <v>0</v>
      </c>
      <c r="J370" s="205">
        <f ca="1">IFERROR(__xludf.DUMMYFUNCTION("IMPORTRANGE(""https://docs.google.com/spreadsheets/d/1SX6NBoVAgQJ6U1MVXOaj8PK2l7WJ3RER9xtqwdhxkhw/edit?usp=sharing"",""ตราด!J265"")"),0)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IFERROR(__xludf.DUMMYFUNCTION("IMPORTRANGE(""https://docs.google.com/spreadsheets/d/1SX6NBoVAgQJ6U1MVXOaj8PK2l7WJ3RER9xtqwdhxkhw/edit?usp=sharing"",""ตราด!I164"")"),0)</f>
        <v>0</v>
      </c>
      <c r="J371" s="190">
        <f ca="1">IFERROR(__xludf.DUMMYFUNCTION("IMPORTRANGE(""https://docs.google.com/spreadsheets/d/1SX6NBoVAgQJ6U1MVXOaj8PK2l7WJ3RER9xtqwdhxkhw/edit?usp=sharing"",""ตราด!J164"")"),0)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IFERROR(__xludf.DUMMYFUNCTION("IMPORTRANGE(""https://docs.google.com/spreadsheets/d/1SX6NBoVAgQJ6U1MVXOaj8PK2l7WJ3RER9xtqwdhxkhw/edit?usp=sharing"",""ตราด!I267"")"),0)</f>
        <v>0</v>
      </c>
      <c r="J372" s="190">
        <f ca="1">IFERROR(__xludf.DUMMYFUNCTION("IMPORTRANGE(""https://docs.google.com/spreadsheets/d/1SX6NBoVAgQJ6U1MVXOaj8PK2l7WJ3RER9xtqwdhxkhw/edit?usp=sharing"",""ตราด!J267"")"),0)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IFERROR(__xludf.DUMMYFUNCTION("IMPORTRANGE(""https://docs.google.com/spreadsheets/d/1SX6NBoVAgQJ6U1MVXOaj8PK2l7WJ3RER9xtqwdhxkhw/edit?usp=sharing"",""ตราด!I164"")"),0)</f>
        <v>0</v>
      </c>
      <c r="J373" s="205">
        <f ca="1">IFERROR(__xludf.DUMMYFUNCTION("IMPORTRANGE(""https://docs.google.com/spreadsheets/d/1SX6NBoVAgQJ6U1MVXOaj8PK2l7WJ3RER9xtqwdhxkhw/edit?usp=sharing"",""ตราด!J164"")"),0)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IFERROR(__xludf.DUMMYFUNCTION("IMPORTRANGE(""https://docs.google.com/spreadsheets/d/1SX6NBoVAgQJ6U1MVXOaj8PK2l7WJ3RER9xtqwdhxkhw/edit?usp=sharing"",""ตราด!I164"")"),0)</f>
        <v>0</v>
      </c>
      <c r="J374" s="189">
        <f ca="1">IFERROR(__xludf.DUMMYFUNCTION("IMPORTRANGE(""https://docs.google.com/spreadsheets/d/1SX6NBoVAgQJ6U1MVXOaj8PK2l7WJ3RER9xtqwdhxkhw/edit?usp=sharing"",""ตราด!J164"")"),0)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IFERROR(__xludf.DUMMYFUNCTION("IMPORTRANGE(""https://docs.google.com/spreadsheets/d/1SX6NBoVAgQJ6U1MVXOaj8PK2l7WJ3RER9xtqwdhxkhw/edit?usp=sharing"",""ตราด!I270"")"),0)</f>
        <v>0</v>
      </c>
      <c r="J375" s="189">
        <f ca="1">IFERROR(__xludf.DUMMYFUNCTION("IMPORTRANGE(""https://docs.google.com/spreadsheets/d/1SX6NBoVAgQJ6U1MVXOaj8PK2l7WJ3RER9xtqwdhxkhw/edit?usp=sharing"",""ตราด!J270"")"),0)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IFERROR(__xludf.DUMMYFUNCTION("IMPORTRANGE(""https://docs.google.com/spreadsheets/d/1SX6NBoVAgQJ6U1MVXOaj8PK2l7WJ3RER9xtqwdhxkhw/edit?usp=sharing"",""ตราด!I271"")"),0)</f>
        <v>0</v>
      </c>
      <c r="J376" s="190">
        <f ca="1">IFERROR(__xludf.DUMMYFUNCTION("IMPORTRANGE(""https://docs.google.com/spreadsheets/d/1SX6NBoVAgQJ6U1MVXOaj8PK2l7WJ3RER9xtqwdhxkhw/edit?usp=sharing"",""ตราด!J271"")"),0)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IFERROR(__xludf.DUMMYFUNCTION("IMPORTRANGE(""https://docs.google.com/spreadsheets/d/1SX6NBoVAgQJ6U1MVXOaj8PK2l7WJ3RER9xtqwdhxkhw/edit?usp=sharing"",""ตราด!I272"")"),0)</f>
        <v>0</v>
      </c>
      <c r="J377" s="205">
        <f ca="1">IFERROR(__xludf.DUMMYFUNCTION("IMPORTRANGE(""https://docs.google.com/spreadsheets/d/1SX6NBoVAgQJ6U1MVXOaj8PK2l7WJ3RER9xtqwdhxkhw/edit?usp=sharing"",""ตราด!J272"")"),0)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IFERROR(__xludf.DUMMYFUNCTION("IMPORTRANGE(""https://docs.google.com/spreadsheets/d/1SX6NBoVAgQJ6U1MVXOaj8PK2l7WJ3RER9xtqwdhxkhw/edit?usp=sharing"",""ตราด!J273"")"),0)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IFERROR(__xludf.DUMMYFUNCTION("IMPORTRANGE(""https://docs.google.com/spreadsheets/d/1SX6NBoVAgQJ6U1MVXOaj8PK2l7WJ3RER9xtqwdhxkhw/edit?usp=sharing"",""ตราด!M275"")"),66769)</f>
        <v>66769</v>
      </c>
      <c r="O380" s="373">
        <f ca="1">+IF(L380&gt;0,N380*100/L380,0)</f>
        <v>32.168529581807668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IFERROR(__xludf.DUMMYFUNCTION("IMPORTRANGE(""https://docs.google.com/spreadsheets/d/1SX6NBoVAgQJ6U1MVXOaj8PK2l7WJ3RER9xtqwdhxkhw/edit?usp=sharing"",""ตราด!L277"")"),0)</f>
        <v>0</v>
      </c>
      <c r="M382" s="166"/>
      <c r="N382" s="166">
        <f ca="1">IFERROR(__xludf.DUMMYFUNCTION("IMPORTRANGE(""https://docs.google.com/spreadsheets/d/1SX6NBoVAgQJ6U1MVXOaj8PK2l7WJ3RER9xtqwdhxkhw/edit?usp=sharing"",""ตราด!M277"")"),0)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IFERROR(__xludf.DUMMYFUNCTION("IMPORTRANGE(""https://docs.google.com/spreadsheets/d/1SX6NBoVAgQJ6U1MVXOaj8PK2l7WJ3RER9xtqwdhxkhw/edit?usp=sharing"",""ตราด!L278"")"),207560)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IFERROR(__xludf.DUMMYFUNCTION("IMPORTRANGE(""https://docs.google.com/spreadsheets/d/1SX6NBoVAgQJ6U1MVXOaj8PK2l7WJ3RER9xtqwdhxkhw/edit?usp=sharing"",""ตราด!M278"")"),66769)</f>
        <v>66769</v>
      </c>
      <c r="O383" s="167">
        <f t="shared" ca="1" si="109"/>
        <v>32.168529581807668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IFERROR(__xludf.DUMMYFUNCTION("IMPORTRANGE(""https://docs.google.com/spreadsheets/d/1SX6NBoVAgQJ6U1MVXOaj8PK2l7WJ3RER9xtqwdhxkhw/edit?usp=sharing"",""ตราด!L279"")"),0)</f>
        <v>0</v>
      </c>
      <c r="M384" s="170"/>
      <c r="N384" s="170">
        <f ca="1">IFERROR(__xludf.DUMMYFUNCTION("IMPORTRANGE(""https://docs.google.com/spreadsheets/d/1SX6NBoVAgQJ6U1MVXOaj8PK2l7WJ3RER9xtqwdhxkhw/edit?usp=sharing"",""ตราด!M279"")"),0)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IFERROR(__xludf.DUMMYFUNCTION("IMPORTRANGE(""https://docs.google.com/spreadsheets/d/1SX6NBoVAgQJ6U1MVXOaj8PK2l7WJ3RER9xtqwdhxkhw/edit?usp=sharing"",""ตราด!L280"")"),207560)</f>
        <v>207560</v>
      </c>
      <c r="M385" s="170"/>
      <c r="N385" s="169">
        <f ca="1">IFERROR(__xludf.DUMMYFUNCTION("IMPORTRANGE(""https://docs.google.com/spreadsheets/d/1SX6NBoVAgQJ6U1MVXOaj8PK2l7WJ3RER9xtqwdhxkhw/edit?usp=sharing"",""ตราด!M280"")"),66769)</f>
        <v>66769</v>
      </c>
      <c r="O385" s="170">
        <f t="shared" ca="1" si="109"/>
        <v>32.168529581807668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IFERROR(__xludf.DUMMYFUNCTION("IMPORTRANGE(""https://docs.google.com/spreadsheets/d/1SX6NBoVAgQJ6U1MVXOaj8PK2l7WJ3RER9xtqwdhxkhw/edit?usp=sharing"",""ตราด!M282"")"),0)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IFERROR(__xludf.DUMMYFUNCTION("IMPORTRANGE(""https://docs.google.com/spreadsheets/d/1SX6NBoVAgQJ6U1MVXOaj8PK2l7WJ3RER9xtqwdhxkhw/edit?usp=sharing"",""ตราด!M283"")"),0)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IFERROR(__xludf.DUMMYFUNCTION("IMPORTRANGE(""https://docs.google.com/spreadsheets/d/1SX6NBoVAgQJ6U1MVXOaj8PK2l7WJ3RER9xtqwdhxkhw/edit?usp=sharing"",""ตราด!M284"")"),7969)</f>
        <v>7969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IFERROR(__xludf.DUMMYFUNCTION("IMPORTRANGE(""https://docs.google.com/spreadsheets/d/1SX6NBoVAgQJ6U1MVXOaj8PK2l7WJ3RER9xtqwdhxkhw/edit?usp=sharing"",""ตราด!J286"")"),0)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IFERROR(__xludf.DUMMYFUNCTION("IMPORTRANGE(""https://docs.google.com/spreadsheets/d/1SX6NBoVAgQJ6U1MVXOaj8PK2l7WJ3RER9xtqwdhxkhw/edit?usp=sharing"",""ตราด!J287"")"),1)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IFERROR(__xludf.DUMMYFUNCTION("IMPORTRANGE(""https://docs.google.com/spreadsheets/d/1SX6NBoVAgQJ6U1MVXOaj8PK2l7WJ3RER9xtqwdhxkhw/edit?usp=sharing"",""ตราด!J288"")"),1)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IFERROR(__xludf.DUMMYFUNCTION("IMPORTRANGE(""https://docs.google.com/spreadsheets/d/1SX6NBoVAgQJ6U1MVXOaj8PK2l7WJ3RER9xtqwdhxkhw/edit?usp=sharing"",""ตราด!J289"")"),1)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IFERROR(__xludf.DUMMYFUNCTION("IMPORTRANGE(""https://docs.google.com/spreadsheets/d/1SX6NBoVAgQJ6U1MVXOaj8PK2l7WJ3RER9xtqwdhxkhw/edit?usp=sharing"",""ตราด!I291"")"),20)</f>
        <v>20</v>
      </c>
      <c r="J396" s="199">
        <f ca="1">IFERROR(__xludf.DUMMYFUNCTION("IMPORTRANGE(""https://docs.google.com/spreadsheets/d/1SX6NBoVAgQJ6U1MVXOaj8PK2l7WJ3RER9xtqwdhxkhw/edit?usp=sharing"",""ตราด!J291"")"),20)</f>
        <v>20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IFERROR(__xludf.DUMMYFUNCTION("IMPORTRANGE(""https://docs.google.com/spreadsheets/d/1SX6NBoVAgQJ6U1MVXOaj8PK2l7WJ3RER9xtqwdhxkhw/edit?usp=sharing"",""ตราด!I292"")"),200)</f>
        <v>200</v>
      </c>
      <c r="J397" s="199">
        <f ca="1">IFERROR(__xludf.DUMMYFUNCTION("IMPORTRANGE(""https://docs.google.com/spreadsheets/d/1SX6NBoVAgQJ6U1MVXOaj8PK2l7WJ3RER9xtqwdhxkhw/edit?usp=sharing"",""ตราด!J292"")"),0)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IFERROR(__xludf.DUMMYFUNCTION("IMPORTRANGE(""https://docs.google.com/spreadsheets/d/1SX6NBoVAgQJ6U1MVXOaj8PK2l7WJ3RER9xtqwdhxkhw/edit?usp=sharing"",""ตราด!I293"")"),20)</f>
        <v>20</v>
      </c>
      <c r="J398" s="199">
        <f ca="1">IFERROR(__xludf.DUMMYFUNCTION("IMPORTRANGE(""https://docs.google.com/spreadsheets/d/1SX6NBoVAgQJ6U1MVXOaj8PK2l7WJ3RER9xtqwdhxkhw/edit?usp=sharing"",""ตราด!J293"")"),0)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IFERROR(__xludf.DUMMYFUNCTION("IMPORTRANGE(""https://docs.google.com/spreadsheets/d/1SX6NBoVAgQJ6U1MVXOaj8PK2l7WJ3RER9xtqwdhxkhw/edit?usp=sharing"",""ตราด!J294"")"),0)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IFERROR(__xludf.DUMMYFUNCTION("IMPORTRANGE(""https://docs.google.com/spreadsheets/d/1SX6NBoVAgQJ6U1MVXOaj8PK2l7WJ3RER9xtqwdhxkhw/edit?usp=sharing"",""ตราด!J295"")"),0)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IFERROR(__xludf.DUMMYFUNCTION("IMPORTRANGE(""https://docs.google.com/spreadsheets/d/1SX6NBoVAgQJ6U1MVXOaj8PK2l7WJ3RER9xtqwdhxkhw/edit?usp=sharing"",""ตราด!J296"")"),60)</f>
        <v>60</v>
      </c>
      <c r="K401" s="372">
        <f t="shared" ref="K401:K402" ca="1" si="111">IF(I401&gt;0,J401*100/I401,0)</f>
        <v>66.666666666666671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IFERROR(__xludf.DUMMYFUNCTION("IMPORTRANGE(""https://docs.google.com/spreadsheets/d/1SX6NBoVAgQJ6U1MVXOaj8PK2l7WJ3RER9xtqwdhxkhw/edit?usp=sharing"",""ตราด!M296"")"),97325)</f>
        <v>97325</v>
      </c>
      <c r="O401" s="373">
        <f ca="1">+IF(L401&gt;0,N401*100/L401,0)</f>
        <v>83.670048143053648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IFERROR(__xludf.DUMMYFUNCTION("IMPORTRANGE(""https://docs.google.com/spreadsheets/d/1SX6NBoVAgQJ6U1MVXOaj8PK2l7WJ3RER9xtqwdhxkhw/edit?usp=sharing"",""ตราด!L298"")"),0)</f>
        <v>0</v>
      </c>
      <c r="M403" s="166"/>
      <c r="N403" s="170">
        <f ca="1">IFERROR(__xludf.DUMMYFUNCTION("IMPORTRANGE(""https://docs.google.com/spreadsheets/d/1SX6NBoVAgQJ6U1MVXOaj8PK2l7WJ3RER9xtqwdhxkhw/edit?usp=sharing"",""ตราด!M298"")"),0)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IFERROR(__xludf.DUMMYFUNCTION("IMPORTRANGE(""https://docs.google.com/spreadsheets/d/1SX6NBoVAgQJ6U1MVXOaj8PK2l7WJ3RER9xtqwdhxkhw/edit?usp=sharing"",""ตราด!L299"")"),116320)</f>
        <v>116320</v>
      </c>
      <c r="M404" s="167"/>
      <c r="N404" s="170">
        <f ca="1">IFERROR(__xludf.DUMMYFUNCTION("IMPORTRANGE(""https://docs.google.com/spreadsheets/d/1SX6NBoVAgQJ6U1MVXOaj8PK2l7WJ3RER9xtqwdhxkhw/edit?usp=sharing"",""ตราด!M299"")"),97325)</f>
        <v>97325</v>
      </c>
      <c r="O404" s="170">
        <f t="shared" ca="1" si="112"/>
        <v>83.670048143053648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IFERROR(__xludf.DUMMYFUNCTION("IMPORTRANGE(""https://docs.google.com/spreadsheets/d/1SX6NBoVAgQJ6U1MVXOaj8PK2l7WJ3RER9xtqwdhxkhw/edit?usp=sharing"",""ตราด!L300"")"),0)</f>
        <v>0</v>
      </c>
      <c r="M405" s="170"/>
      <c r="N405" s="170">
        <f ca="1">IFERROR(__xludf.DUMMYFUNCTION("IMPORTRANGE(""https://docs.google.com/spreadsheets/d/1SX6NBoVAgQJ6U1MVXOaj8PK2l7WJ3RER9xtqwdhxkhw/edit?usp=sharing"",""ตราด!M300"")"),0)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IFERROR(__xludf.DUMMYFUNCTION("IMPORTRANGE(""https://docs.google.com/spreadsheets/d/1SX6NBoVAgQJ6U1MVXOaj8PK2l7WJ3RER9xtqwdhxkhw/edit?usp=sharing"",""ตราด!L301"")"),116320)</f>
        <v>116320</v>
      </c>
      <c r="M406" s="170"/>
      <c r="N406" s="170">
        <f ca="1">IFERROR(__xludf.DUMMYFUNCTION("IMPORTRANGE(""https://docs.google.com/spreadsheets/d/1SX6NBoVAgQJ6U1MVXOaj8PK2l7WJ3RER9xtqwdhxkhw/edit?usp=sharing"",""ตราด!M301"")"),97325)</f>
        <v>97325</v>
      </c>
      <c r="O406" s="170">
        <f t="shared" ca="1" si="112"/>
        <v>83.670048143053648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IFERROR(__xludf.DUMMYFUNCTION("IMPORTRANGE(""https://docs.google.com/spreadsheets/d/1SX6NBoVAgQJ6U1MVXOaj8PK2l7WJ3RER9xtqwdhxkhw/edit?usp=sharing"",""ตราด!M304"")"),0)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IFERROR(__xludf.DUMMYFUNCTION("IMPORTRANGE(""https://docs.google.com/spreadsheets/d/1SX6NBoVAgQJ6U1MVXOaj8PK2l7WJ3RER9xtqwdhxkhw/edit?usp=sharing"",""ตราด!M305"")"),5825)</f>
        <v>5825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IFERROR(__xludf.DUMMYFUNCTION("IMPORTRANGE(""https://docs.google.com/spreadsheets/d/1SX6NBoVAgQJ6U1MVXOaj8PK2l7WJ3RER9xtqwdhxkhw/edit?usp=sharing"",""ตราด!J307"")"),0)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IFERROR(__xludf.DUMMYFUNCTION("IMPORTRANGE(""https://docs.google.com/spreadsheets/d/1SX6NBoVAgQJ6U1MVXOaj8PK2l7WJ3RER9xtqwdhxkhw/edit?usp=sharing"",""ตราด!J308"")"),1)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IFERROR(__xludf.DUMMYFUNCTION("IMPORTRANGE(""https://docs.google.com/spreadsheets/d/1SX6NBoVAgQJ6U1MVXOaj8PK2l7WJ3RER9xtqwdhxkhw/edit?usp=sharing"",""ตราด!J309"")"),1)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IFERROR(__xludf.DUMMYFUNCTION("IMPORTRANGE(""https://docs.google.com/spreadsheets/d/1SX6NBoVAgQJ6U1MVXOaj8PK2l7WJ3RER9xtqwdhxkhw/edit?usp=sharing"",""ตราด!J310"")"),1)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IFERROR(__xludf.DUMMYFUNCTION("IMPORTRANGE(""https://docs.google.com/spreadsheets/d/1SX6NBoVAgQJ6U1MVXOaj8PK2l7WJ3RER9xtqwdhxkhw/edit?usp=sharing"",""ตราด!I311"")"),30)</f>
        <v>30</v>
      </c>
      <c r="J416" s="202">
        <f ca="1">IFERROR(__xludf.DUMMYFUNCTION("IMPORTRANGE(""https://docs.google.com/spreadsheets/d/1SX6NBoVAgQJ6U1MVXOaj8PK2l7WJ3RER9xtqwdhxkhw/edit?usp=sharing"",""ตราด!J311"")"),30)</f>
        <v>30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IFERROR(__xludf.DUMMYFUNCTION("IMPORTRANGE(""https://docs.google.com/spreadsheets/d/1SX6NBoVAgQJ6U1MVXOaj8PK2l7WJ3RER9xtqwdhxkhw/edit?usp=sharing"",""ตราด!J328"")"),0)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IFERROR(__xludf.DUMMYFUNCTION("IMPORTRANGE(""https://docs.google.com/spreadsheets/d/1SX6NBoVAgQJ6U1MVXOaj8PK2l7WJ3RER9xtqwdhxkhw/edit?usp=sharing"",""ตราด!J329"")"),0)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IFERROR(__xludf.DUMMYFUNCTION("IMPORTRANGE(""https://docs.google.com/spreadsheets/d/1SX6NBoVAgQJ6U1MVXOaj8PK2l7WJ3RER9xtqwdhxkhw/edit?usp=sharing"",""ตราด!J330"")"),15)</f>
        <v>15</v>
      </c>
      <c r="K435" s="411">
        <f ca="1">IF(I435&gt;0,J435*100/I435,0)</f>
        <v>150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IFERROR(__xludf.DUMMYFUNCTION("IMPORTRANGE(""https://docs.google.com/spreadsheets/d/1SX6NBoVAgQJ6U1MVXOaj8PK2l7WJ3RER9xtqwdhxkhw/edit?usp=sharing"",""ตราด!M330"")"),45443)</f>
        <v>45443</v>
      </c>
      <c r="O435" s="412">
        <f t="shared" ref="O435:O439" ca="1" si="114">+IF(L435&gt;0,N435*100/L435,0)</f>
        <v>59.016883116883115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IFERROR(__xludf.DUMMYFUNCTION("IMPORTRANGE(""https://docs.google.com/spreadsheets/d/1SX6NBoVAgQJ6U1MVXOaj8PK2l7WJ3RER9xtqwdhxkhw/edit?usp=sharing"",""ตราด!L331"")"),0)</f>
        <v>0</v>
      </c>
      <c r="M436" s="166"/>
      <c r="N436" s="170">
        <f ca="1">IFERROR(__xludf.DUMMYFUNCTION("IMPORTRANGE(""https://docs.google.com/spreadsheets/d/1SX6NBoVAgQJ6U1MVXOaj8PK2l7WJ3RER9xtqwdhxkhw/edit?usp=sharing"",""ตราด!M331"")"),0)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IFERROR(__xludf.DUMMYFUNCTION("IMPORTRANGE(""https://docs.google.com/spreadsheets/d/1SX6NBoVAgQJ6U1MVXOaj8PK2l7WJ3RER9xtqwdhxkhw/edit?usp=sharing"",""ตราด!L332"")"),77000)</f>
        <v>77000</v>
      </c>
      <c r="M437" s="167"/>
      <c r="N437" s="170">
        <f ca="1">IFERROR(__xludf.DUMMYFUNCTION("IMPORTRANGE(""https://docs.google.com/spreadsheets/d/1SX6NBoVAgQJ6U1MVXOaj8PK2l7WJ3RER9xtqwdhxkhw/edit?usp=sharing"",""ตราด!M332"")"),45443)</f>
        <v>45443</v>
      </c>
      <c r="O437" s="170">
        <f t="shared" ca="1" si="114"/>
        <v>59.016883116883115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IFERROR(__xludf.DUMMYFUNCTION("IMPORTRANGE(""https://docs.google.com/spreadsheets/d/1SX6NBoVAgQJ6U1MVXOaj8PK2l7WJ3RER9xtqwdhxkhw/edit?usp=sharing"",""ตราด!L333"")"),0)</f>
        <v>0</v>
      </c>
      <c r="M438" s="170"/>
      <c r="N438" s="170">
        <f ca="1">IFERROR(__xludf.DUMMYFUNCTION("IMPORTRANGE(""https://docs.google.com/spreadsheets/d/1SX6NBoVAgQJ6U1MVXOaj8PK2l7WJ3RER9xtqwdhxkhw/edit?usp=sharing"",""ตราด!M333"")"),0)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IFERROR(__xludf.DUMMYFUNCTION("IMPORTRANGE(""https://docs.google.com/spreadsheets/d/1SX6NBoVAgQJ6U1MVXOaj8PK2l7WJ3RER9xtqwdhxkhw/edit?usp=sharing"",""ตราด!L334"")"),77000)</f>
        <v>77000</v>
      </c>
      <c r="M439" s="170"/>
      <c r="N439" s="170">
        <f ca="1">IFERROR(__xludf.DUMMYFUNCTION("IMPORTRANGE(""https://docs.google.com/spreadsheets/d/1SX6NBoVAgQJ6U1MVXOaj8PK2l7WJ3RER9xtqwdhxkhw/edit?usp=sharing"",""ตราด!M334"")"),45443)</f>
        <v>45443</v>
      </c>
      <c r="O439" s="170">
        <f t="shared" ca="1" si="114"/>
        <v>59.016883116883115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IFERROR(__xludf.DUMMYFUNCTION("IMPORTRANGE(""https://docs.google.com/spreadsheets/d/1SX6NBoVAgQJ6U1MVXOaj8PK2l7WJ3RER9xtqwdhxkhw/edit?usp=sharing"",""ตราด!M336"")"),0)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IFERROR(__xludf.DUMMYFUNCTION("IMPORTRANGE(""https://docs.google.com/spreadsheets/d/1SX6NBoVAgQJ6U1MVXOaj8PK2l7WJ3RER9xtqwdhxkhw/edit?usp=sharing"",""ตราด!M337"")"),0)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IFERROR(__xludf.DUMMYFUNCTION("IMPORTRANGE(""https://docs.google.com/spreadsheets/d/1SX6NBoVAgQJ6U1MVXOaj8PK2l7WJ3RER9xtqwdhxkhw/edit?usp=sharing"",""ตราด!M338"")"),6470)</f>
        <v>6470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IFERROR(__xludf.DUMMYFUNCTION("IMPORTRANGE(""https://docs.google.com/spreadsheets/d/1SX6NBoVAgQJ6U1MVXOaj8PK2l7WJ3RER9xtqwdhxkhw/edit?usp=sharing"",""ตราด!J342"")"),1)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IFERROR(__xludf.DUMMYFUNCTION("IMPORTRANGE(""https://docs.google.com/spreadsheets/d/1SX6NBoVAgQJ6U1MVXOaj8PK2l7WJ3RER9xtqwdhxkhw/edit?usp=sharing"",""ตราด!J343"")"),1)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2">
        <f ca="1">IFERROR(__xludf.DUMMYFUNCTION("IMPORTRANGE(""https://docs.google.com/spreadsheets/d/1SX6NBoVAgQJ6U1MVXOaj8PK2l7WJ3RER9xtqwdhxkhw/edit?usp=sharing"",""ตราด!J344"")"),15)</f>
        <v>15</v>
      </c>
      <c r="K449" s="165">
        <f t="shared" ref="K449:K452" ca="1" si="115">IF(I449&gt;0,J449*100/I449,0)</f>
        <v>150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IFERROR(__xludf.DUMMYFUNCTION("IMPORTRANGE(""https://docs.google.com/spreadsheets/d/1SX6NBoVAgQJ6U1MVXOaj8PK2l7WJ3RER9xtqwdhxkhw/edit?usp=sharing"",""ตราด!I345"")"),10)</f>
        <v>10</v>
      </c>
      <c r="J450" s="190">
        <f ca="1">IFERROR(__xludf.DUMMYFUNCTION("IMPORTRANGE(""https://docs.google.com/spreadsheets/d/1SX6NBoVAgQJ6U1MVXOaj8PK2l7WJ3RER9xtqwdhxkhw/edit?usp=sharing"",""ตราด!J345"")"),10)</f>
        <v>10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IFERROR(__xludf.DUMMYFUNCTION("IMPORTRANGE(""https://docs.google.com/spreadsheets/d/1SX6NBoVAgQJ6U1MVXOaj8PK2l7WJ3RER9xtqwdhxkhw/edit?usp=sharing"",""ตราด!I346"")"),0)</f>
        <v>0</v>
      </c>
      <c r="J451" s="189">
        <f ca="1">IFERROR(__xludf.DUMMYFUNCTION("IMPORTRANGE(""https://docs.google.com/spreadsheets/d/1SX6NBoVAgQJ6U1MVXOaj8PK2l7WJ3RER9xtqwdhxkhw/edit?usp=sharing"",""ตราด!J346"")"),0)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IFERROR(__xludf.DUMMYFUNCTION("IMPORTRANGE(""https://docs.google.com/spreadsheets/d/1SX6NBoVAgQJ6U1MVXOaj8PK2l7WJ3RER9xtqwdhxkhw/edit?usp=sharing"",""ตราด!I347"")"),0)</f>
        <v>0</v>
      </c>
      <c r="J452" s="189">
        <f ca="1">IFERROR(__xludf.DUMMYFUNCTION("IMPORTRANGE(""https://docs.google.com/spreadsheets/d/1SX6NBoVAgQJ6U1MVXOaj8PK2l7WJ3RER9xtqwdhxkhw/edit?usp=sharing"",""ตราด!J347"")"),5)</f>
        <v>5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IFERROR(__xludf.DUMMYFUNCTION("IMPORTRANGE(""https://docs.google.com/spreadsheets/d/1SX6NBoVAgQJ6U1MVXOaj8PK2l7WJ3RER9xtqwdhxkhw/edit?usp=sharing"",""ตราด!J348"")"),0)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IFERROR(__xludf.DUMMYFUNCTION("IMPORTRANGE(""https://docs.google.com/spreadsheets/d/1SX6NBoVAgQJ6U1MVXOaj8PK2l7WJ3RER9xtqwdhxkhw/edit?usp=sharing"",""ตราด!J349"")"),0)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IFERROR(__xludf.DUMMYFUNCTION("IMPORTRANGE(""https://docs.google.com/spreadsheets/d/1SX6NBoVAgQJ6U1MVXOaj8PK2l7WJ3RER9xtqwdhxkhw/edit?usp=sharing"",""ตราด!M350"")"),4920)</f>
        <v>4920</v>
      </c>
      <c r="O455" s="373">
        <f t="shared" ref="O455:O459" ca="1" si="116">+IF(L455&gt;0,N455*100/L455,0)</f>
        <v>7.4261909074443038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IFERROR(__xludf.DUMMYFUNCTION("IMPORTRANGE(""https://docs.google.com/spreadsheets/d/1SX6NBoVAgQJ6U1MVXOaj8PK2l7WJ3RER9xtqwdhxkhw/edit?usp=sharing"",""ตราด!L351"")"),0)</f>
        <v>0</v>
      </c>
      <c r="M456" s="166"/>
      <c r="N456" s="170">
        <f ca="1">IFERROR(__xludf.DUMMYFUNCTION("IMPORTRANGE(""https://docs.google.com/spreadsheets/d/1SX6NBoVAgQJ6U1MVXOaj8PK2l7WJ3RER9xtqwdhxkhw/edit?usp=sharing"",""ตราด!M351"")"),0)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IFERROR(__xludf.DUMMYFUNCTION("IMPORTRANGE(""https://docs.google.com/spreadsheets/d/1SX6NBoVAgQJ6U1MVXOaj8PK2l7WJ3RER9xtqwdhxkhw/edit?usp=sharing"",""ตราด!L352"")"),66252)</f>
        <v>66252</v>
      </c>
      <c r="M457" s="167"/>
      <c r="N457" s="170">
        <f ca="1">IFERROR(__xludf.DUMMYFUNCTION("IMPORTRANGE(""https://docs.google.com/spreadsheets/d/1SX6NBoVAgQJ6U1MVXOaj8PK2l7WJ3RER9xtqwdhxkhw/edit?usp=sharing"",""ตราด!M352"")"),4920)</f>
        <v>4920</v>
      </c>
      <c r="O457" s="170">
        <f t="shared" ca="1" si="116"/>
        <v>7.4261909074443038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IFERROR(__xludf.DUMMYFUNCTION("IMPORTRANGE(""https://docs.google.com/spreadsheets/d/1SX6NBoVAgQJ6U1MVXOaj8PK2l7WJ3RER9xtqwdhxkhw/edit?usp=sharing"",""ตราด!L353"")"),0)</f>
        <v>0</v>
      </c>
      <c r="M458" s="170"/>
      <c r="N458" s="170">
        <f ca="1">IFERROR(__xludf.DUMMYFUNCTION("IMPORTRANGE(""https://docs.google.com/spreadsheets/d/1SX6NBoVAgQJ6U1MVXOaj8PK2l7WJ3RER9xtqwdhxkhw/edit?usp=sharing"",""ตราด!M353"")"),0)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IFERROR(__xludf.DUMMYFUNCTION("IMPORTRANGE(""https://docs.google.com/spreadsheets/d/1SX6NBoVAgQJ6U1MVXOaj8PK2l7WJ3RER9xtqwdhxkhw/edit?usp=sharing"",""ตราด!L354"")"),66252)</f>
        <v>66252</v>
      </c>
      <c r="M459" s="170"/>
      <c r="N459" s="170">
        <f ca="1">IFERROR(__xludf.DUMMYFUNCTION("IMPORTRANGE(""https://docs.google.com/spreadsheets/d/1SX6NBoVAgQJ6U1MVXOaj8PK2l7WJ3RER9xtqwdhxkhw/edit?usp=sharing"",""ตราด!M354"")"),4920)</f>
        <v>4920</v>
      </c>
      <c r="O459" s="170">
        <f t="shared" ca="1" si="116"/>
        <v>7.4261909074443038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IFERROR(__xludf.DUMMYFUNCTION("IMPORTRANGE(""https://docs.google.com/spreadsheets/d/1SX6NBoVAgQJ6U1MVXOaj8PK2l7WJ3RER9xtqwdhxkhw/edit?usp=sharing"",""ตราด!M355"")"),0)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IFERROR(__xludf.DUMMYFUNCTION("IMPORTRANGE(""https://docs.google.com/spreadsheets/d/1SX6NBoVAgQJ6U1MVXOaj8PK2l7WJ3RER9xtqwdhxkhw/edit?usp=sharing"",""ตราด!M356"")"),0)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IFERROR(__xludf.DUMMYFUNCTION("IMPORTRANGE(""https://docs.google.com/spreadsheets/d/1SX6NBoVAgQJ6U1MVXOaj8PK2l7WJ3RER9xtqwdhxkhw/edit?usp=sharing"",""ตราด!M357"")"),0)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IFERROR(__xludf.DUMMYFUNCTION("IMPORTRANGE(""https://docs.google.com/spreadsheets/d/1SX6NBoVAgQJ6U1MVXOaj8PK2l7WJ3RER9xtqwdhxkhw/edit?usp=sharing"",""ตราด!M358"")"),4920)</f>
        <v>4920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IFERROR(__xludf.DUMMYFUNCTION("IMPORTRANGE(""https://docs.google.com/spreadsheets/d/1SX6NBoVAgQJ6U1MVXOaj8PK2l7WJ3RER9xtqwdhxkhw/edit?usp=sharing"",""ตราด!I362"")"),0)</f>
        <v>0</v>
      </c>
      <c r="J467" s="190">
        <f ca="1">IFERROR(__xludf.DUMMYFUNCTION("IMPORTRANGE(""https://docs.google.com/spreadsheets/d/1SX6NBoVAgQJ6U1MVXOaj8PK2l7WJ3RER9xtqwdhxkhw/edit?usp=sharing"",""ตราด!J362"")"),0)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IFERROR(__xludf.DUMMYFUNCTION("IMPORTRANGE(""https://docs.google.com/spreadsheets/d/1SX6NBoVAgQJ6U1MVXOaj8PK2l7WJ3RER9xtqwdhxkhw/edit?usp=sharing"",""ตราด!I363"")"),0)</f>
        <v>0</v>
      </c>
      <c r="J468" s="190">
        <f ca="1">IFERROR(__xludf.DUMMYFUNCTION("IMPORTRANGE(""https://docs.google.com/spreadsheets/d/1SX6NBoVAgQJ6U1MVXOaj8PK2l7WJ3RER9xtqwdhxkhw/edit?usp=sharing"",""ตราด!J363"")"),0)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IFERROR(__xludf.DUMMYFUNCTION("IMPORTRANGE(""https://docs.google.com/spreadsheets/d/1SX6NBoVAgQJ6U1MVXOaj8PK2l7WJ3RER9xtqwdhxkhw/edit?usp=sharing"",""ตราด!I364"")"),0)</f>
        <v>0</v>
      </c>
      <c r="J469" s="190">
        <f ca="1">IFERROR(__xludf.DUMMYFUNCTION("IMPORTRANGE(""https://docs.google.com/spreadsheets/d/1SX6NBoVAgQJ6U1MVXOaj8PK2l7WJ3RER9xtqwdhxkhw/edit?usp=sharing"",""ตราด!J364"")"),0)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IFERROR(__xludf.DUMMYFUNCTION("IMPORTRANGE(""https://docs.google.com/spreadsheets/d/1SX6NBoVAgQJ6U1MVXOaj8PK2l7WJ3RER9xtqwdhxkhw/edit?usp=sharing"",""ตราด!I365"")"),0)</f>
        <v>0</v>
      </c>
      <c r="J470" s="190">
        <f ca="1">IFERROR(__xludf.DUMMYFUNCTION("IMPORTRANGE(""https://docs.google.com/spreadsheets/d/1SX6NBoVAgQJ6U1MVXOaj8PK2l7WJ3RER9xtqwdhxkhw/edit?usp=sharing"",""ตราด!J365"")"),0)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IFERROR(__xludf.DUMMYFUNCTION("IMPORTRANGE(""https://docs.google.com/spreadsheets/d/1SX6NBoVAgQJ6U1MVXOaj8PK2l7WJ3RER9xtqwdhxkhw/edit?usp=sharing"",""ตราด!I366"")"),0)</f>
        <v>0</v>
      </c>
      <c r="J471" s="190">
        <f ca="1">IFERROR(__xludf.DUMMYFUNCTION("IMPORTRANGE(""https://docs.google.com/spreadsheets/d/1SX6NBoVAgQJ6U1MVXOaj8PK2l7WJ3RER9xtqwdhxkhw/edit?usp=sharing"",""ตราด!J366"")"),0)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IFERROR(__xludf.DUMMYFUNCTION("IMPORTRANGE(""https://docs.google.com/spreadsheets/d/1SX6NBoVAgQJ6U1MVXOaj8PK2l7WJ3RER9xtqwdhxkhw/edit?usp=sharing"",""ตราด!I367"")"),0)</f>
        <v>0</v>
      </c>
      <c r="J472" s="190">
        <f ca="1">IFERROR(__xludf.DUMMYFUNCTION("IMPORTRANGE(""https://docs.google.com/spreadsheets/d/1SX6NBoVAgQJ6U1MVXOaj8PK2l7WJ3RER9xtqwdhxkhw/edit?usp=sharing"",""ตราด!J367"")"),0)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IFERROR(__xludf.DUMMYFUNCTION("IMPORTRANGE(""https://docs.google.com/spreadsheets/d/1SX6NBoVAgQJ6U1MVXOaj8PK2l7WJ3RER9xtqwdhxkhw/edit?usp=sharing"",""ตราด!I370"")"),0)</f>
        <v>0</v>
      </c>
      <c r="J475" s="190">
        <f ca="1">IFERROR(__xludf.DUMMYFUNCTION("IMPORTRANGE(""https://docs.google.com/spreadsheets/d/1SX6NBoVAgQJ6U1MVXOaj8PK2l7WJ3RER9xtqwdhxkhw/edit?usp=sharing"",""ตราด!J370"")"),0)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IFERROR(__xludf.DUMMYFUNCTION("IMPORTRANGE(""https://docs.google.com/spreadsheets/d/1SX6NBoVAgQJ6U1MVXOaj8PK2l7WJ3RER9xtqwdhxkhw/edit?usp=sharing"",""ตราด!I371"")"),0)</f>
        <v>0</v>
      </c>
      <c r="J476" s="190">
        <f ca="1">IFERROR(__xludf.DUMMYFUNCTION("IMPORTRANGE(""https://docs.google.com/spreadsheets/d/1SX6NBoVAgQJ6U1MVXOaj8PK2l7WJ3RER9xtqwdhxkhw/edit?usp=sharing"",""ตราด!J371"")"),0)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IFERROR(__xludf.DUMMYFUNCTION("IMPORTRANGE(""https://docs.google.com/spreadsheets/d/1SX6NBoVAgQJ6U1MVXOaj8PK2l7WJ3RER9xtqwdhxkhw/edit?usp=sharing"",""ตราด!I372"")"),0)</f>
        <v>0</v>
      </c>
      <c r="J477" s="190">
        <f ca="1">IFERROR(__xludf.DUMMYFUNCTION("IMPORTRANGE(""https://docs.google.com/spreadsheets/d/1SX6NBoVAgQJ6U1MVXOaj8PK2l7WJ3RER9xtqwdhxkhw/edit?usp=sharing"",""ตราด!J372"")"),0)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IFERROR(__xludf.DUMMYFUNCTION("IMPORTRANGE(""https://docs.google.com/spreadsheets/d/1SX6NBoVAgQJ6U1MVXOaj8PK2l7WJ3RER9xtqwdhxkhw/edit?usp=sharing"",""ตราด!I373"")"),0)</f>
        <v>0</v>
      </c>
      <c r="J478" s="190">
        <f ca="1">IFERROR(__xludf.DUMMYFUNCTION("IMPORTRANGE(""https://docs.google.com/spreadsheets/d/1SX6NBoVAgQJ6U1MVXOaj8PK2l7WJ3RER9xtqwdhxkhw/edit?usp=sharing"",""ตราด!J373"")"),0)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IFERROR(__xludf.DUMMYFUNCTION("IMPORTRANGE(""https://docs.google.com/spreadsheets/d/1SX6NBoVAgQJ6U1MVXOaj8PK2l7WJ3RER9xtqwdhxkhw/edit?usp=sharing"",""ตราด!I374"")"),0)</f>
        <v>0</v>
      </c>
      <c r="J479" s="190">
        <f ca="1">IFERROR(__xludf.DUMMYFUNCTION("IMPORTRANGE(""https://docs.google.com/spreadsheets/d/1SX6NBoVAgQJ6U1MVXOaj8PK2l7WJ3RER9xtqwdhxkhw/edit?usp=sharing"",""ตราด!J374"")"),0)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IFERROR(__xludf.DUMMYFUNCTION("IMPORTRANGE(""https://docs.google.com/spreadsheets/d/1SX6NBoVAgQJ6U1MVXOaj8PK2l7WJ3RER9xtqwdhxkhw/edit?usp=sharing"",""ตราด!I375"")"),0)</f>
        <v>0</v>
      </c>
      <c r="J480" s="190">
        <f ca="1">IFERROR(__xludf.DUMMYFUNCTION("IMPORTRANGE(""https://docs.google.com/spreadsheets/d/1SX6NBoVAgQJ6U1MVXOaj8PK2l7WJ3RER9xtqwdhxkhw/edit?usp=sharing"",""ตราด!J375"")"),0)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IFERROR(__xludf.DUMMYFUNCTION("IMPORTRANGE(""https://docs.google.com/spreadsheets/d/1SX6NBoVAgQJ6U1MVXOaj8PK2l7WJ3RER9xtqwdhxkhw/edit?usp=sharing"",""ตราด!I378"")"),0)</f>
        <v>0</v>
      </c>
      <c r="J483" s="190">
        <f ca="1">IFERROR(__xludf.DUMMYFUNCTION("IMPORTRANGE(""https://docs.google.com/spreadsheets/d/1SX6NBoVAgQJ6U1MVXOaj8PK2l7WJ3RER9xtqwdhxkhw/edit?usp=sharing"",""ตราด!J378"")"),0)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IFERROR(__xludf.DUMMYFUNCTION("IMPORTRANGE(""https://docs.google.com/spreadsheets/d/1SX6NBoVAgQJ6U1MVXOaj8PK2l7WJ3RER9xtqwdhxkhw/edit?usp=sharing"",""ตราด!I379"")"),0)</f>
        <v>0</v>
      </c>
      <c r="J484" s="190">
        <f ca="1">IFERROR(__xludf.DUMMYFUNCTION("IMPORTRANGE(""https://docs.google.com/spreadsheets/d/1SX6NBoVAgQJ6U1MVXOaj8PK2l7WJ3RER9xtqwdhxkhw/edit?usp=sharing"",""ตราด!J379"")"),0)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IFERROR(__xludf.DUMMYFUNCTION("IMPORTRANGE(""https://docs.google.com/spreadsheets/d/1SX6NBoVAgQJ6U1MVXOaj8PK2l7WJ3RER9xtqwdhxkhw/edit?usp=sharing"",""ตราด!I380"")"),0)</f>
        <v>0</v>
      </c>
      <c r="J485" s="190">
        <f ca="1">IFERROR(__xludf.DUMMYFUNCTION("IMPORTRANGE(""https://docs.google.com/spreadsheets/d/1SX6NBoVAgQJ6U1MVXOaj8PK2l7WJ3RER9xtqwdhxkhw/edit?usp=sharing"",""ตราด!J380"")"),0)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IFERROR(__xludf.DUMMYFUNCTION("IMPORTRANGE(""https://docs.google.com/spreadsheets/d/1SX6NBoVAgQJ6U1MVXOaj8PK2l7WJ3RER9xtqwdhxkhw/edit?usp=sharing"",""ตราด!I381"")"),0)</f>
        <v>0</v>
      </c>
      <c r="J486" s="190">
        <f ca="1">IFERROR(__xludf.DUMMYFUNCTION("IMPORTRANGE(""https://docs.google.com/spreadsheets/d/1SX6NBoVAgQJ6U1MVXOaj8PK2l7WJ3RER9xtqwdhxkhw/edit?usp=sharing"",""ตราด!J381"")"),0)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IFERROR(__xludf.DUMMYFUNCTION("IMPORTRANGE(""https://docs.google.com/spreadsheets/d/1SX6NBoVAgQJ6U1MVXOaj8PK2l7WJ3RER9xtqwdhxkhw/edit?usp=sharing"",""ตราด!I384"")"),0)</f>
        <v>0</v>
      </c>
      <c r="J489" s="190">
        <f ca="1">IFERROR(__xludf.DUMMYFUNCTION("IMPORTRANGE(""https://docs.google.com/spreadsheets/d/1SX6NBoVAgQJ6U1MVXOaj8PK2l7WJ3RER9xtqwdhxkhw/edit?usp=sharing"",""ตราด!J384"")"),0)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IFERROR(__xludf.DUMMYFUNCTION("IMPORTRANGE(""https://docs.google.com/spreadsheets/d/1SX6NBoVAgQJ6U1MVXOaj8PK2l7WJ3RER9xtqwdhxkhw/edit?usp=sharing"",""ตราด!I385"")"),0)</f>
        <v>0</v>
      </c>
      <c r="J490" s="190">
        <f ca="1">IFERROR(__xludf.DUMMYFUNCTION("IMPORTRANGE(""https://docs.google.com/spreadsheets/d/1SX6NBoVAgQJ6U1MVXOaj8PK2l7WJ3RER9xtqwdhxkhw/edit?usp=sharing"",""ตราด!J385"")"),0)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IFERROR(__xludf.DUMMYFUNCTION("IMPORTRANGE(""https://docs.google.com/spreadsheets/d/1SX6NBoVAgQJ6U1MVXOaj8PK2l7WJ3RER9xtqwdhxkhw/edit?usp=sharing"",""ตราด!I386"")"),0)</f>
        <v>0</v>
      </c>
      <c r="J491" s="190">
        <f ca="1">IFERROR(__xludf.DUMMYFUNCTION("IMPORTRANGE(""https://docs.google.com/spreadsheets/d/1SX6NBoVAgQJ6U1MVXOaj8PK2l7WJ3RER9xtqwdhxkhw/edit?usp=sharing"",""ตราด!J386"")"),0)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IFERROR(__xludf.DUMMYFUNCTION("IMPORTRANGE(""https://docs.google.com/spreadsheets/d/1SX6NBoVAgQJ6U1MVXOaj8PK2l7WJ3RER9xtqwdhxkhw/edit?usp=sharing"",""ตราด!I387"")"),0)</f>
        <v>0</v>
      </c>
      <c r="J492" s="190">
        <f ca="1">IFERROR(__xludf.DUMMYFUNCTION("IMPORTRANGE(""https://docs.google.com/spreadsheets/d/1SX6NBoVAgQJ6U1MVXOaj8PK2l7WJ3RER9xtqwdhxkhw/edit?usp=sharing"",""ตราด!J387"")"),0)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IFERROR(__xludf.DUMMYFUNCTION("IMPORTRANGE(""https://docs.google.com/spreadsheets/d/1SX6NBoVAgQJ6U1MVXOaj8PK2l7WJ3RER9xtqwdhxkhw/edit?usp=sharing"",""ตราด!I388"")"),0)</f>
        <v>0</v>
      </c>
      <c r="J493" s="190">
        <f ca="1">IFERROR(__xludf.DUMMYFUNCTION("IMPORTRANGE(""https://docs.google.com/spreadsheets/d/1SX6NBoVAgQJ6U1MVXOaj8PK2l7WJ3RER9xtqwdhxkhw/edit?usp=sharing"",""ตราด!J388"")"),0)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IFERROR(__xludf.DUMMYFUNCTION("IMPORTRANGE(""https://docs.google.com/spreadsheets/d/1SX6NBoVAgQJ6U1MVXOaj8PK2l7WJ3RER9xtqwdhxkhw/edit?usp=sharing"",""ตราด!J392"")"),666)</f>
        <v>666</v>
      </c>
      <c r="K497" s="444">
        <f t="shared" ca="1" si="117"/>
        <v>47.776183644189381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IFERROR(__xludf.DUMMYFUNCTION("IMPORTRANGE(""https://docs.google.com/spreadsheets/d/1SX6NBoVAgQJ6U1MVXOaj8PK2l7WJ3RER9xtqwdhxkhw/edit?usp=sharing"",""ตราด!J393"")"),666)</f>
        <v>666</v>
      </c>
      <c r="K498" s="165">
        <f t="shared" ca="1" si="117"/>
        <v>47.776183644189381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IFERROR(__xludf.DUMMYFUNCTION("IMPORTRANGE(""https://docs.google.com/spreadsheets/d/1SX6NBoVAgQJ6U1MVXOaj8PK2l7WJ3RER9xtqwdhxkhw/edit?usp=sharing"",""ตราด!J394"")"),41)</f>
        <v>41</v>
      </c>
      <c r="K499" s="203">
        <f t="shared" ca="1" si="117"/>
        <v>46.067415730337082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IFERROR(__xludf.DUMMYFUNCTION("IMPORTRANGE(""https://docs.google.com/spreadsheets/d/1SX6NBoVAgQJ6U1MVXOaj8PK2l7WJ3RER9xtqwdhxkhw/edit?usp=sharing"",""ตราด!I395"")"),0)</f>
        <v>0</v>
      </c>
      <c r="J500" s="164">
        <f ca="1">IFERROR(__xludf.DUMMYFUNCTION("IMPORTRANGE(""https://docs.google.com/spreadsheets/d/1SX6NBoVAgQJ6U1MVXOaj8PK2l7WJ3RER9xtqwdhxkhw/edit?usp=sharing"",""ตราด!J395"")"),666)</f>
        <v>666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IFERROR(__xludf.DUMMYFUNCTION("IMPORTRANGE(""https://docs.google.com/spreadsheets/d/1SX6NBoVAgQJ6U1MVXOaj8PK2l7WJ3RER9xtqwdhxkhw/edit?usp=sharing"",""ตราด!I396"")"),0)</f>
        <v>0</v>
      </c>
      <c r="J501" s="164">
        <f ca="1">IFERROR(__xludf.DUMMYFUNCTION("IMPORTRANGE(""https://docs.google.com/spreadsheets/d/1SX6NBoVAgQJ6U1MVXOaj8PK2l7WJ3RER9xtqwdhxkhw/edit?usp=sharing"",""ตราด!J396"")"),41)</f>
        <v>41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IFERROR(__xludf.DUMMYFUNCTION("IMPORTRANGE(""https://docs.google.com/spreadsheets/d/1SX6NBoVAgQJ6U1MVXOaj8PK2l7WJ3RER9xtqwdhxkhw/edit?usp=sharing"",""ตราด!I397"")"),0)</f>
        <v>0</v>
      </c>
      <c r="J502" s="190">
        <f ca="1">IFERROR(__xludf.DUMMYFUNCTION("IMPORTRANGE(""https://docs.google.com/spreadsheets/d/1SX6NBoVAgQJ6U1MVXOaj8PK2l7WJ3RER9xtqwdhxkhw/edit?usp=sharing"",""ตราด!J397"")"),666)</f>
        <v>666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IFERROR(__xludf.DUMMYFUNCTION("IMPORTRANGE(""https://docs.google.com/spreadsheets/d/1SX6NBoVAgQJ6U1MVXOaj8PK2l7WJ3RER9xtqwdhxkhw/edit?usp=sharing"",""ตราด!I398"")"),0)</f>
        <v>0</v>
      </c>
      <c r="J503" s="199">
        <f ca="1">IFERROR(__xludf.DUMMYFUNCTION("IMPORTRANGE(""https://docs.google.com/spreadsheets/d/1SX6NBoVAgQJ6U1MVXOaj8PK2l7WJ3RER9xtqwdhxkhw/edit?usp=sharing"",""ตราด!J398"")"),41)</f>
        <v>41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IFERROR(__xludf.DUMMYFUNCTION("IMPORTRANGE(""https://docs.google.com/spreadsheets/d/1SX6NBoVAgQJ6U1MVXOaj8PK2l7WJ3RER9xtqwdhxkhw/edit?usp=sharing"",""ตราด!I399"")"),0)</f>
        <v>0</v>
      </c>
      <c r="J504" s="190">
        <f ca="1">IFERROR(__xludf.DUMMYFUNCTION("IMPORTRANGE(""https://docs.google.com/spreadsheets/d/1SX6NBoVAgQJ6U1MVXOaj8PK2l7WJ3RER9xtqwdhxkhw/edit?usp=sharing"",""ตราด!J399"")"),0)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IFERROR(__xludf.DUMMYFUNCTION("IMPORTRANGE(""https://docs.google.com/spreadsheets/d/1SX6NBoVAgQJ6U1MVXOaj8PK2l7WJ3RER9xtqwdhxkhw/edit?usp=sharing"",""ตราด!I400"")"),0)</f>
        <v>0</v>
      </c>
      <c r="J505" s="199">
        <f ca="1">IFERROR(__xludf.DUMMYFUNCTION("IMPORTRANGE(""https://docs.google.com/spreadsheets/d/1SX6NBoVAgQJ6U1MVXOaj8PK2l7WJ3RER9xtqwdhxkhw/edit?usp=sharing"",""ตราด!J400"")"),0)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IFERROR(__xludf.DUMMYFUNCTION("IMPORTRANGE(""https://docs.google.com/spreadsheets/d/1SX6NBoVAgQJ6U1MVXOaj8PK2l7WJ3RER9xtqwdhxkhw/edit?usp=sharing"",""ตราด!I401"")"),0)</f>
        <v>0</v>
      </c>
      <c r="J506" s="190">
        <f ca="1">IFERROR(__xludf.DUMMYFUNCTION("IMPORTRANGE(""https://docs.google.com/spreadsheets/d/1SX6NBoVAgQJ6U1MVXOaj8PK2l7WJ3RER9xtqwdhxkhw/edit?usp=sharing"",""ตราด!J401"")"),0)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IFERROR(__xludf.DUMMYFUNCTION("IMPORTRANGE(""https://docs.google.com/spreadsheets/d/1SX6NBoVAgQJ6U1MVXOaj8PK2l7WJ3RER9xtqwdhxkhw/edit?usp=sharing"",""ตราด!I402"")"),0)</f>
        <v>0</v>
      </c>
      <c r="J507" s="199">
        <f ca="1">IFERROR(__xludf.DUMMYFUNCTION("IMPORTRANGE(""https://docs.google.com/spreadsheets/d/1SX6NBoVAgQJ6U1MVXOaj8PK2l7WJ3RER9xtqwdhxkhw/edit?usp=sharing"",""ตราด!J402"")"),0)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IFERROR(__xludf.DUMMYFUNCTION("IMPORTRANGE(""https://docs.google.com/spreadsheets/d/1SX6NBoVAgQJ6U1MVXOaj8PK2l7WJ3RER9xtqwdhxkhw/edit?usp=sharing"",""ตราด!I403"")"),0)</f>
        <v>0</v>
      </c>
      <c r="J508" s="164">
        <f ca="1">IFERROR(__xludf.DUMMYFUNCTION("IMPORTRANGE(""https://docs.google.com/spreadsheets/d/1SX6NBoVAgQJ6U1MVXOaj8PK2l7WJ3RER9xtqwdhxkhw/edit?usp=sharing"",""ตราด!J403"")"),0)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IFERROR(__xludf.DUMMYFUNCTION("IMPORTRANGE(""https://docs.google.com/spreadsheets/d/1SX6NBoVAgQJ6U1MVXOaj8PK2l7WJ3RER9xtqwdhxkhw/edit?usp=sharing"",""ตราด!I404"")"),0)</f>
        <v>0</v>
      </c>
      <c r="J509" s="164">
        <f ca="1">IFERROR(__xludf.DUMMYFUNCTION("IMPORTRANGE(""https://docs.google.com/spreadsheets/d/1SX6NBoVAgQJ6U1MVXOaj8PK2l7WJ3RER9xtqwdhxkhw/edit?usp=sharing"",""ตราด!J404"")"),0)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IFERROR(__xludf.DUMMYFUNCTION("IMPORTRANGE(""https://docs.google.com/spreadsheets/d/1SX6NBoVAgQJ6U1MVXOaj8PK2l7WJ3RER9xtqwdhxkhw/edit?usp=sharing"",""ตราด!I405"")"),0)</f>
        <v>0</v>
      </c>
      <c r="J510" s="199">
        <f ca="1">IFERROR(__xludf.DUMMYFUNCTION("IMPORTRANGE(""https://docs.google.com/spreadsheets/d/1SX6NBoVAgQJ6U1MVXOaj8PK2l7WJ3RER9xtqwdhxkhw/edit?usp=sharing"",""ตราด!J405"")"),0)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IFERROR(__xludf.DUMMYFUNCTION("IMPORTRANGE(""https://docs.google.com/spreadsheets/d/1SX6NBoVAgQJ6U1MVXOaj8PK2l7WJ3RER9xtqwdhxkhw/edit?usp=sharing"",""ตราด!I406"")"),0)</f>
        <v>0</v>
      </c>
      <c r="J511" s="199">
        <f ca="1">IFERROR(__xludf.DUMMYFUNCTION("IMPORTRANGE(""https://docs.google.com/spreadsheets/d/1SX6NBoVAgQJ6U1MVXOaj8PK2l7WJ3RER9xtqwdhxkhw/edit?usp=sharing"",""ตราด!J406"")"),0)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IFERROR(__xludf.DUMMYFUNCTION("IMPORTRANGE(""https://docs.google.com/spreadsheets/d/1SX6NBoVAgQJ6U1MVXOaj8PK2l7WJ3RER9xtqwdhxkhw/edit?usp=sharing"",""ตราด!I407"")"),0)</f>
        <v>0</v>
      </c>
      <c r="J512" s="199">
        <f ca="1">IFERROR(__xludf.DUMMYFUNCTION("IMPORTRANGE(""https://docs.google.com/spreadsheets/d/1SX6NBoVAgQJ6U1MVXOaj8PK2l7WJ3RER9xtqwdhxkhw/edit?usp=sharing"",""ตราด!J407"")"),0)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IFERROR(__xludf.DUMMYFUNCTION("IMPORTRANGE(""https://docs.google.com/spreadsheets/d/1SX6NBoVAgQJ6U1MVXOaj8PK2l7WJ3RER9xtqwdhxkhw/edit?usp=sharing"",""ตราด!I408"")"),0)</f>
        <v>0</v>
      </c>
      <c r="J513" s="199">
        <f ca="1">IFERROR(__xludf.DUMMYFUNCTION("IMPORTRANGE(""https://docs.google.com/spreadsheets/d/1SX6NBoVAgQJ6U1MVXOaj8PK2l7WJ3RER9xtqwdhxkhw/edit?usp=sharing"",""ตราด!J408"")"),0)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IFERROR(__xludf.DUMMYFUNCTION("IMPORTRANGE(""https://docs.google.com/spreadsheets/d/1SX6NBoVAgQJ6U1MVXOaj8PK2l7WJ3RER9xtqwdhxkhw/edit?usp=sharing"",""ตราด!I409"")"),0)</f>
        <v>0</v>
      </c>
      <c r="J514" s="199">
        <f ca="1">IFERROR(__xludf.DUMMYFUNCTION("IMPORTRANGE(""https://docs.google.com/spreadsheets/d/1SX6NBoVAgQJ6U1MVXOaj8PK2l7WJ3RER9xtqwdhxkhw/edit?usp=sharing"",""ตราด!J409"")"),0)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IFERROR(__xludf.DUMMYFUNCTION("IMPORTRANGE(""https://docs.google.com/spreadsheets/d/1SX6NBoVAgQJ6U1MVXOaj8PK2l7WJ3RER9xtqwdhxkhw/edit?usp=sharing"",""ตราด!I410"")"),0)</f>
        <v>0</v>
      </c>
      <c r="J515" s="199">
        <f ca="1">IFERROR(__xludf.DUMMYFUNCTION("IMPORTRANGE(""https://docs.google.com/spreadsheets/d/1SX6NBoVAgQJ6U1MVXOaj8PK2l7WJ3RER9xtqwdhxkhw/edit?usp=sharing"",""ตราด!J410"")"),0)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IFERROR(__xludf.DUMMYFUNCTION("IMPORTRANGE(""https://docs.google.com/spreadsheets/d/1SX6NBoVAgQJ6U1MVXOaj8PK2l7WJ3RER9xtqwdhxkhw/edit?usp=sharing"",""ตราด!I412"")"),0)</f>
        <v>0</v>
      </c>
      <c r="J517" s="284">
        <f ca="1">IFERROR(__xludf.DUMMYFUNCTION("IMPORTRANGE(""https://docs.google.com/spreadsheets/d/1SX6NBoVAgQJ6U1MVXOaj8PK2l7WJ3RER9xtqwdhxkhw/edit?usp=sharing"",""ตราด!J412"")"),0)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IFERROR(__xludf.DUMMYFUNCTION("IMPORTRANGE(""https://docs.google.com/spreadsheets/d/1SX6NBoVAgQJ6U1MVXOaj8PK2l7WJ3RER9xtqwdhxkhw/edit?usp=sharing"",""ตราด!I413"")"),0)</f>
        <v>0</v>
      </c>
      <c r="J518" s="284">
        <f ca="1">IFERROR(__xludf.DUMMYFUNCTION("IMPORTRANGE(""https://docs.google.com/spreadsheets/d/1SX6NBoVAgQJ6U1MVXOaj8PK2l7WJ3RER9xtqwdhxkhw/edit?usp=sharing"",""ตราด!J413"")"),0)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IFERROR(__xludf.DUMMYFUNCTION("IMPORTRANGE(""https://docs.google.com/spreadsheets/d/1SX6NBoVAgQJ6U1MVXOaj8PK2l7WJ3RER9xtqwdhxkhw/edit?usp=sharing"",""ตราด!I414"")"),0)</f>
        <v>0</v>
      </c>
      <c r="J519" s="189">
        <f ca="1">IFERROR(__xludf.DUMMYFUNCTION("IMPORTRANGE(""https://docs.google.com/spreadsheets/d/1SX6NBoVAgQJ6U1MVXOaj8PK2l7WJ3RER9xtqwdhxkhw/edit?usp=sharing"",""ตราด!J414"")"),0)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IFERROR(__xludf.DUMMYFUNCTION("IMPORTRANGE(""https://docs.google.com/spreadsheets/d/1SX6NBoVAgQJ6U1MVXOaj8PK2l7WJ3RER9xtqwdhxkhw/edit?usp=sharing"",""ตราด!I415"")"),0)</f>
        <v>0</v>
      </c>
      <c r="J520" s="189">
        <f ca="1">IFERROR(__xludf.DUMMYFUNCTION("IMPORTRANGE(""https://docs.google.com/spreadsheets/d/1SX6NBoVAgQJ6U1MVXOaj8PK2l7WJ3RER9xtqwdhxkhw/edit?usp=sharing"",""ตราด!J415"")"),0)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IFERROR(__xludf.DUMMYFUNCTION("IMPORTRANGE(""https://docs.google.com/spreadsheets/d/1SX6NBoVAgQJ6U1MVXOaj8PK2l7WJ3RER9xtqwdhxkhw/edit?usp=sharing"",""ตราด!I416"")"),0)</f>
        <v>0</v>
      </c>
      <c r="J521" s="189">
        <f ca="1">IFERROR(__xludf.DUMMYFUNCTION("IMPORTRANGE(""https://docs.google.com/spreadsheets/d/1SX6NBoVAgQJ6U1MVXOaj8PK2l7WJ3RER9xtqwdhxkhw/edit?usp=sharing"",""ตราด!J416"")"),0)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IFERROR(__xludf.DUMMYFUNCTION("IMPORTRANGE(""https://docs.google.com/spreadsheets/d/1SX6NBoVAgQJ6U1MVXOaj8PK2l7WJ3RER9xtqwdhxkhw/edit?usp=sharing"",""ตราด!I417"")"),0)</f>
        <v>0</v>
      </c>
      <c r="J522" s="189">
        <f ca="1">IFERROR(__xludf.DUMMYFUNCTION("IMPORTRANGE(""https://docs.google.com/spreadsheets/d/1SX6NBoVAgQJ6U1MVXOaj8PK2l7WJ3RER9xtqwdhxkhw/edit?usp=sharing"",""ตราด!J417"")"),0)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IFERROR(__xludf.DUMMYFUNCTION("IMPORTRANGE(""https://docs.google.com/spreadsheets/d/1SX6NBoVAgQJ6U1MVXOaj8PK2l7WJ3RER9xtqwdhxkhw/edit?usp=sharing"",""ตราด!I418"")"),0)</f>
        <v>0</v>
      </c>
      <c r="J523" s="189">
        <f ca="1">IFERROR(__xludf.DUMMYFUNCTION("IMPORTRANGE(""https://docs.google.com/spreadsheets/d/1SX6NBoVAgQJ6U1MVXOaj8PK2l7WJ3RER9xtqwdhxkhw/edit?usp=sharing"",""ตราด!J418"")"),0)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IFERROR(__xludf.DUMMYFUNCTION("IMPORTRANGE(""https://docs.google.com/spreadsheets/d/1SX6NBoVAgQJ6U1MVXOaj8PK2l7WJ3RER9xtqwdhxkhw/edit?usp=sharing"",""ตราด!I419"")"),0)</f>
        <v>0</v>
      </c>
      <c r="J524" s="189">
        <f ca="1">IFERROR(__xludf.DUMMYFUNCTION("IMPORTRANGE(""https://docs.google.com/spreadsheets/d/1SX6NBoVAgQJ6U1MVXOaj8PK2l7WJ3RER9xtqwdhxkhw/edit?usp=sharing"",""ตราด!J419"")"),0)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IFERROR(__xludf.DUMMYFUNCTION("IMPORTRANGE(""https://docs.google.com/spreadsheets/d/1SX6NBoVAgQJ6U1MVXOaj8PK2l7WJ3RER9xtqwdhxkhw/edit?usp=sharing"",""ตราด!I420"")"),0)</f>
        <v>0</v>
      </c>
      <c r="J525" s="284">
        <f ca="1">IFERROR(__xludf.DUMMYFUNCTION("IMPORTRANGE(""https://docs.google.com/spreadsheets/d/1SX6NBoVAgQJ6U1MVXOaj8PK2l7WJ3RER9xtqwdhxkhw/edit?usp=sharing"",""ตราด!J420"")"),0)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IFERROR(__xludf.DUMMYFUNCTION("IMPORTRANGE(""https://docs.google.com/spreadsheets/d/1SX6NBoVAgQJ6U1MVXOaj8PK2l7WJ3RER9xtqwdhxkhw/edit?usp=sharing"",""ตราด!I421"")"),0)</f>
        <v>0</v>
      </c>
      <c r="J526" s="284">
        <f ca="1">IFERROR(__xludf.DUMMYFUNCTION("IMPORTRANGE(""https://docs.google.com/spreadsheets/d/1SX6NBoVAgQJ6U1MVXOaj8PK2l7WJ3RER9xtqwdhxkhw/edit?usp=sharing"",""ตราด!J421"")"),0)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IFERROR(__xludf.DUMMYFUNCTION("IMPORTRANGE(""https://docs.google.com/spreadsheets/d/1SX6NBoVAgQJ6U1MVXOaj8PK2l7WJ3RER9xtqwdhxkhw/edit?usp=sharing"",""ตราด!I422"")"),0)</f>
        <v>0</v>
      </c>
      <c r="J527" s="199">
        <f ca="1">IFERROR(__xludf.DUMMYFUNCTION("IMPORTRANGE(""https://docs.google.com/spreadsheets/d/1SX6NBoVAgQJ6U1MVXOaj8PK2l7WJ3RER9xtqwdhxkhw/edit?usp=sharing"",""ตราด!J422"")"),0)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IFERROR(__xludf.DUMMYFUNCTION("IMPORTRANGE(""https://docs.google.com/spreadsheets/d/1SX6NBoVAgQJ6U1MVXOaj8PK2l7WJ3RER9xtqwdhxkhw/edit?usp=sharing"",""ตราด!I423"")"),0)</f>
        <v>0</v>
      </c>
      <c r="J528" s="199">
        <f ca="1">IFERROR(__xludf.DUMMYFUNCTION("IMPORTRANGE(""https://docs.google.com/spreadsheets/d/1SX6NBoVAgQJ6U1MVXOaj8PK2l7WJ3RER9xtqwdhxkhw/edit?usp=sharing"",""ตราด!J423"")"),0)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IFERROR(__xludf.DUMMYFUNCTION("IMPORTRANGE(""https://docs.google.com/spreadsheets/d/1SX6NBoVAgQJ6U1MVXOaj8PK2l7WJ3RER9xtqwdhxkhw/edit?usp=sharing"",""ตราด!I424"")"),0)</f>
        <v>0</v>
      </c>
      <c r="J529" s="199">
        <f ca="1">IFERROR(__xludf.DUMMYFUNCTION("IMPORTRANGE(""https://docs.google.com/spreadsheets/d/1SX6NBoVAgQJ6U1MVXOaj8PK2l7WJ3RER9xtqwdhxkhw/edit?usp=sharing"",""ตราด!J424"")"),0)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IFERROR(__xludf.DUMMYFUNCTION("IMPORTRANGE(""https://docs.google.com/spreadsheets/d/1SX6NBoVAgQJ6U1MVXOaj8PK2l7WJ3RER9xtqwdhxkhw/edit?usp=sharing"",""ตราด!I425"")"),0)</f>
        <v>0</v>
      </c>
      <c r="J530" s="199">
        <f ca="1">IFERROR(__xludf.DUMMYFUNCTION("IMPORTRANGE(""https://docs.google.com/spreadsheets/d/1SX6NBoVAgQJ6U1MVXOaj8PK2l7WJ3RER9xtqwdhxkhw/edit?usp=sharing"",""ตราด!J425"")"),0)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IFERROR(__xludf.DUMMYFUNCTION("IMPORTRANGE(""https://docs.google.com/spreadsheets/d/1SX6NBoVAgQJ6U1MVXOaj8PK2l7WJ3RER9xtqwdhxkhw/edit?usp=sharing"",""ตราด!I426"")"),0)</f>
        <v>0</v>
      </c>
      <c r="J531" s="199">
        <f ca="1">IFERROR(__xludf.DUMMYFUNCTION("IMPORTRANGE(""https://docs.google.com/spreadsheets/d/1SX6NBoVAgQJ6U1MVXOaj8PK2l7WJ3RER9xtqwdhxkhw/edit?usp=sharing"",""ตราด!J426"")"),0)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IFERROR(__xludf.DUMMYFUNCTION("IMPORTRANGE(""https://docs.google.com/spreadsheets/d/1SX6NBoVAgQJ6U1MVXOaj8PK2l7WJ3RER9xtqwdhxkhw/edit?usp=sharing"",""ตราด!M428"")"),23174)</f>
        <v>23174</v>
      </c>
      <c r="O533" s="412">
        <f t="shared" ref="O533:O537" ca="1" si="118">+IF(L533&gt;0,N533*100/L533,0)</f>
        <v>67.483983692486902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IFERROR(__xludf.DUMMYFUNCTION("IMPORTRANGE(""https://docs.google.com/spreadsheets/d/1SX6NBoVAgQJ6U1MVXOaj8PK2l7WJ3RER9xtqwdhxkhw/edit?usp=sharing"",""ตราด!L429"")"),0)</f>
        <v>0</v>
      </c>
      <c r="M534" s="166"/>
      <c r="N534" s="170">
        <f ca="1">IFERROR(__xludf.DUMMYFUNCTION("IMPORTRANGE(""https://docs.google.com/spreadsheets/d/1SX6NBoVAgQJ6U1MVXOaj8PK2l7WJ3RER9xtqwdhxkhw/edit?usp=sharing"",""ตราด!M429"")"),0)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IFERROR(__xludf.DUMMYFUNCTION("IMPORTRANGE(""https://docs.google.com/spreadsheets/d/1SX6NBoVAgQJ6U1MVXOaj8PK2l7WJ3RER9xtqwdhxkhw/edit?usp=sharing"",""ตราด!L430"")"),34340)</f>
        <v>34340</v>
      </c>
      <c r="M535" s="167"/>
      <c r="N535" s="170">
        <f ca="1">IFERROR(__xludf.DUMMYFUNCTION("IMPORTRANGE(""https://docs.google.com/spreadsheets/d/1SX6NBoVAgQJ6U1MVXOaj8PK2l7WJ3RER9xtqwdhxkhw/edit?usp=sharing"",""ตราด!M430"")"),23174)</f>
        <v>23174</v>
      </c>
      <c r="O535" s="170">
        <f t="shared" ca="1" si="118"/>
        <v>67.483983692486902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IFERROR(__xludf.DUMMYFUNCTION("IMPORTRANGE(""https://docs.google.com/spreadsheets/d/1SX6NBoVAgQJ6U1MVXOaj8PK2l7WJ3RER9xtqwdhxkhw/edit?usp=sharing"",""ตราด!L431"")"),0)</f>
        <v>0</v>
      </c>
      <c r="M536" s="170"/>
      <c r="N536" s="170">
        <f ca="1">IFERROR(__xludf.DUMMYFUNCTION("IMPORTRANGE(""https://docs.google.com/spreadsheets/d/1SX6NBoVAgQJ6U1MVXOaj8PK2l7WJ3RER9xtqwdhxkhw/edit?usp=sharing"",""ตราด!M431"")"),0)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IFERROR(__xludf.DUMMYFUNCTION("IMPORTRANGE(""https://docs.google.com/spreadsheets/d/1SX6NBoVAgQJ6U1MVXOaj8PK2l7WJ3RER9xtqwdhxkhw/edit?usp=sharing"",""ตราด!L432"")"),34340)</f>
        <v>34340</v>
      </c>
      <c r="M537" s="170"/>
      <c r="N537" s="170">
        <f ca="1">IFERROR(__xludf.DUMMYFUNCTION("IMPORTRANGE(""https://docs.google.com/spreadsheets/d/1SX6NBoVAgQJ6U1MVXOaj8PK2l7WJ3RER9xtqwdhxkhw/edit?usp=sharing"",""ตราด!M432"")"),23174)</f>
        <v>23174</v>
      </c>
      <c r="O537" s="170">
        <f t="shared" ca="1" si="118"/>
        <v>67.483983692486902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IFERROR(__xludf.DUMMYFUNCTION("IMPORTRANGE(""https://docs.google.com/spreadsheets/d/1SX6NBoVAgQJ6U1MVXOaj8PK2l7WJ3RER9xtqwdhxkhw/edit?usp=sharing"",""ตราด!M434"")"),0)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IFERROR(__xludf.DUMMYFUNCTION("IMPORTRANGE(""https://docs.google.com/spreadsheets/d/1SX6NBoVAgQJ6U1MVXOaj8PK2l7WJ3RER9xtqwdhxkhw/edit?usp=sharing"",""ตราด!M435"")"),0)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IFERROR(__xludf.DUMMYFUNCTION("IMPORTRANGE(""https://docs.google.com/spreadsheets/d/1SX6NBoVAgQJ6U1MVXOaj8PK2l7WJ3RER9xtqwdhxkhw/edit?usp=sharing"",""ตราด!M436"")"),6346)</f>
        <v>6346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IFERROR(__xludf.DUMMYFUNCTION("IMPORTRANGE(""https://docs.google.com/spreadsheets/d/1SX6NBoVAgQJ6U1MVXOaj8PK2l7WJ3RER9xtqwdhxkhw/edit?usp=sharing"",""ตราด!J438"")"),0)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IFERROR(__xludf.DUMMYFUNCTION("IMPORTRANGE(""https://docs.google.com/spreadsheets/d/1SX6NBoVAgQJ6U1MVXOaj8PK2l7WJ3RER9xtqwdhxkhw/edit?usp=sharing"",""ตราด!J439"")"),1)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IFERROR(__xludf.DUMMYFUNCTION("IMPORTRANGE(""https://docs.google.com/spreadsheets/d/1SX6NBoVAgQJ6U1MVXOaj8PK2l7WJ3RER9xtqwdhxkhw/edit?usp=sharing"",""ตราด!J440"")"),1)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IFERROR(__xludf.DUMMYFUNCTION("IMPORTRANGE(""https://docs.google.com/spreadsheets/d/1SX6NBoVAgQJ6U1MVXOaj8PK2l7WJ3RER9xtqwdhxkhw/edit?usp=sharing"",""ตราด!J441"")"),1)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IFERROR(__xludf.DUMMYFUNCTION("IMPORTRANGE(""https://docs.google.com/spreadsheets/d/1SX6NBoVAgQJ6U1MVXOaj8PK2l7WJ3RER9xtqwdhxkhw/edit?usp=sharing"",""ตราด!I442"")"),22)</f>
        <v>22</v>
      </c>
      <c r="J547" s="190">
        <f ca="1">IFERROR(__xludf.DUMMYFUNCTION("IMPORTRANGE(""https://docs.google.com/spreadsheets/d/1SX6NBoVAgQJ6U1MVXOaj8PK2l7WJ3RER9xtqwdhxkhw/edit?usp=sharing"",""ตราด!J442"")"),22)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IFERROR(__xludf.DUMMYFUNCTION("IMPORTRANGE(""https://docs.google.com/spreadsheets/d/1SX6NBoVAgQJ6U1MVXOaj8PK2l7WJ3RER9xtqwdhxkhw/edit?usp=sharing"",""ตราด!J166"")"),0)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IFERROR(__xludf.DUMMYFUNCTION("IMPORTRANGE(""https://docs.google.com/spreadsheets/d/1SX6NBoVAgQJ6U1MVXOaj8PK2l7WJ3RER9xtqwdhxkhw/edit?usp=sharing"",""ตราด!J444"")"),0)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IFERROR(__xludf.DUMMYFUNCTION("IMPORTRANGE(""https://docs.google.com/spreadsheets/d/1SX6NBoVAgQJ6U1MVXOaj8PK2l7WJ3RER9xtqwdhxkhw/edit?usp=sharing"",""ตราด!L447"")"),0)</f>
        <v>0</v>
      </c>
      <c r="M552" s="166"/>
      <c r="N552" s="170">
        <f ca="1">IFERROR(__xludf.DUMMYFUNCTION("IMPORTRANGE(""https://docs.google.com/spreadsheets/d/1SX6NBoVAgQJ6U1MVXOaj8PK2l7WJ3RER9xtqwdhxkhw/edit?usp=sharing"",""ตราด!M447"")"),0)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IFERROR(__xludf.DUMMYFUNCTION("IMPORTRANGE(""https://docs.google.com/spreadsheets/d/1SX6NBoVAgQJ6U1MVXOaj8PK2l7WJ3RER9xtqwdhxkhw/edit?usp=sharing"",""ตราด!L448"")"),0)</f>
        <v>0</v>
      </c>
      <c r="M553" s="167"/>
      <c r="N553" s="170">
        <f ca="1">IFERROR(__xludf.DUMMYFUNCTION("IMPORTRANGE(""https://docs.google.com/spreadsheets/d/1SX6NBoVAgQJ6U1MVXOaj8PK2l7WJ3RER9xtqwdhxkhw/edit?usp=sharing"",""ตราด!M448"")"),0)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IFERROR(__xludf.DUMMYFUNCTION("IMPORTRANGE(""https://docs.google.com/spreadsheets/d/1SX6NBoVAgQJ6U1MVXOaj8PK2l7WJ3RER9xtqwdhxkhw/edit?usp=sharing"",""ตราด!L449"")"),0)</f>
        <v>0</v>
      </c>
      <c r="M554" s="170"/>
      <c r="N554" s="170">
        <f ca="1">IFERROR(__xludf.DUMMYFUNCTION("IMPORTRANGE(""https://docs.google.com/spreadsheets/d/1SX6NBoVAgQJ6U1MVXOaj8PK2l7WJ3RER9xtqwdhxkhw/edit?usp=sharing"",""ตราด!M449"")"),0)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IFERROR(__xludf.DUMMYFUNCTION("IMPORTRANGE(""https://docs.google.com/spreadsheets/d/1SX6NBoVAgQJ6U1MVXOaj8PK2l7WJ3RER9xtqwdhxkhw/edit?usp=sharing"",""ตราด!L450"")"),0)</f>
        <v>0</v>
      </c>
      <c r="M555" s="170"/>
      <c r="N555" s="170">
        <f ca="1">IFERROR(__xludf.DUMMYFUNCTION("IMPORTRANGE(""https://docs.google.com/spreadsheets/d/1SX6NBoVAgQJ6U1MVXOaj8PK2l7WJ3RER9xtqwdhxkhw/edit?usp=sharing"",""ตราด!M450"")"),0)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IFERROR(__xludf.DUMMYFUNCTION("IMPORTRANGE(""https://docs.google.com/spreadsheets/d/1SX6NBoVAgQJ6U1MVXOaj8PK2l7WJ3RER9xtqwdhxkhw/edit?usp=sharing"",""ตราด!M451"")"),0)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IFERROR(__xludf.DUMMYFUNCTION("IMPORTRANGE(""https://docs.google.com/spreadsheets/d/1SX6NBoVAgQJ6U1MVXOaj8PK2l7WJ3RER9xtqwdhxkhw/edit?usp=sharing"",""ตราด!M452"")"),0)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IFERROR(__xludf.DUMMYFUNCTION("IMPORTRANGE(""https://docs.google.com/spreadsheets/d/1SX6NBoVAgQJ6U1MVXOaj8PK2l7WJ3RER9xtqwdhxkhw/edit?usp=sharing"",""ตราด!M453"")"),0)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IFERROR(__xludf.DUMMYFUNCTION("IMPORTRANGE(""https://docs.google.com/spreadsheets/d/1SX6NBoVAgQJ6U1MVXOaj8PK2l7WJ3RER9xtqwdhxkhw/edit?usp=sharing"",""ตราด!M454"")"),0)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IFERROR(__xludf.DUMMYFUNCTION("IMPORTRANGE(""https://docs.google.com/spreadsheets/d/1SX6NBoVAgQJ6U1MVXOaj8PK2l7WJ3RER9xtqwdhxkhw/edit?usp=sharing"",""ตราด!I455"")"),0)</f>
        <v>0</v>
      </c>
      <c r="J560" s="164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IFERROR(__xludf.DUMMYFUNCTION("IMPORTRANGE(""https://docs.google.com/spreadsheets/d/1SX6NBoVAgQJ6U1MVXOaj8PK2l7WJ3RER9xtqwdhxkhw/edit?usp=sharing"",""ตราด!I456"")"),0)</f>
        <v>0</v>
      </c>
      <c r="J561" s="205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IFERROR(__xludf.DUMMYFUNCTION("IMPORTRANGE(""https://docs.google.com/spreadsheets/d/1SX6NBoVAgQJ6U1MVXOaj8PK2l7WJ3RER9xtqwdhxkhw/edit?usp=sharing"",""ตราด!I457"")"),0)</f>
        <v>0</v>
      </c>
      <c r="J562" s="205" t="str">
        <f ca="1">IFERROR(__xludf.DUMMYFUNCTION("IMPORTRANGE(""https://docs.google.com/spreadsheets/d/1SX6NBoVAgQJ6U1MVXOaj8PK2l7WJ3RER9xtqwdhxkhw/edit?usp=sharing"",""ตราด!J457"")"),"")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IFERROR(__xludf.DUMMYFUNCTION("IMPORTRANGE(""https://docs.google.com/spreadsheets/d/1SX6NBoVAgQJ6U1MVXOaj8PK2l7WJ3RER9xtqwdhxkhw/edit?usp=sharing"",""ตราด!I458"")"),0)</f>
        <v>0</v>
      </c>
      <c r="J563" s="189" t="str">
        <f ca="1">IFERROR(__xludf.DUMMYFUNCTION("IMPORTRANGE(""https://docs.google.com/spreadsheets/d/1SX6NBoVAgQJ6U1MVXOaj8PK2l7WJ3RER9xtqwdhxkhw/edit?usp=sharing"",""ตราด!J458"")"),"")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IFERROR(__xludf.DUMMYFUNCTION("IMPORTRANGE(""https://docs.google.com/spreadsheets/d/1SX6NBoVAgQJ6U1MVXOaj8PK2l7WJ3RER9xtqwdhxkhw/edit?usp=sharing"",""ตราด!J459"")"),439)</f>
        <v>439</v>
      </c>
      <c r="K564" s="372">
        <f t="shared" ca="1" si="121"/>
        <v>62.714285714285715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IFERROR(__xludf.DUMMYFUNCTION("IMPORTRANGE(""https://docs.google.com/spreadsheets/d/1SX6NBoVAgQJ6U1MVXOaj8PK2l7WJ3RER9xtqwdhxkhw/edit?usp=sharing"",""ตราด!M459"")"),27635)</f>
        <v>27635</v>
      </c>
      <c r="O564" s="373">
        <f t="shared" ref="O564:O568" ca="1" si="122">+IF(L564&gt;0,N564*100/L564,0)</f>
        <v>22.891815772034459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IFERROR(__xludf.DUMMYFUNCTION("IMPORTRANGE(""https://docs.google.com/spreadsheets/d/1SX6NBoVAgQJ6U1MVXOaj8PK2l7WJ3RER9xtqwdhxkhw/edit?usp=sharing"",""ตราด!L460"")"),0)</f>
        <v>0</v>
      </c>
      <c r="M565" s="166"/>
      <c r="N565" s="170">
        <f ca="1">IFERROR(__xludf.DUMMYFUNCTION("IMPORTRANGE(""https://docs.google.com/spreadsheets/d/1SX6NBoVAgQJ6U1MVXOaj8PK2l7WJ3RER9xtqwdhxkhw/edit?usp=sharing"",""ตราด!M460"")"),0)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IFERROR(__xludf.DUMMYFUNCTION("IMPORTRANGE(""https://docs.google.com/spreadsheets/d/1SX6NBoVAgQJ6U1MVXOaj8PK2l7WJ3RER9xtqwdhxkhw/edit?usp=sharing"",""ตราด!L461"")"),120720)</f>
        <v>120720</v>
      </c>
      <c r="M566" s="167"/>
      <c r="N566" s="170">
        <f ca="1">IFERROR(__xludf.DUMMYFUNCTION("IMPORTRANGE(""https://docs.google.com/spreadsheets/d/1SX6NBoVAgQJ6U1MVXOaj8PK2l7WJ3RER9xtqwdhxkhw/edit?usp=sharing"",""ตราด!M461"")"),27635)</f>
        <v>27635</v>
      </c>
      <c r="O566" s="170">
        <f t="shared" ca="1" si="122"/>
        <v>22.891815772034459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IFERROR(__xludf.DUMMYFUNCTION("IMPORTRANGE(""https://docs.google.com/spreadsheets/d/1SX6NBoVAgQJ6U1MVXOaj8PK2l7WJ3RER9xtqwdhxkhw/edit?usp=sharing"",""ตราด!L462"")"),0)</f>
        <v>0</v>
      </c>
      <c r="M567" s="170"/>
      <c r="N567" s="170">
        <f ca="1">IFERROR(__xludf.DUMMYFUNCTION("IMPORTRANGE(""https://docs.google.com/spreadsheets/d/1SX6NBoVAgQJ6U1MVXOaj8PK2l7WJ3RER9xtqwdhxkhw/edit?usp=sharing"",""ตราด!M462"")"),0)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IFERROR(__xludf.DUMMYFUNCTION("IMPORTRANGE(""https://docs.google.com/spreadsheets/d/1SX6NBoVAgQJ6U1MVXOaj8PK2l7WJ3RER9xtqwdhxkhw/edit?usp=sharing"",""ตราด!L463"")"),120720)</f>
        <v>120720</v>
      </c>
      <c r="M568" s="170"/>
      <c r="N568" s="170">
        <f ca="1">IFERROR(__xludf.DUMMYFUNCTION("IMPORTRANGE(""https://docs.google.com/spreadsheets/d/1SX6NBoVAgQJ6U1MVXOaj8PK2l7WJ3RER9xtqwdhxkhw/edit?usp=sharing"",""ตราด!M463"")"),27635)</f>
        <v>27635</v>
      </c>
      <c r="O568" s="170">
        <f t="shared" ca="1" si="122"/>
        <v>22.891815772034459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IFERROR(__xludf.DUMMYFUNCTION("IMPORTRANGE(""https://docs.google.com/spreadsheets/d/1SX6NBoVAgQJ6U1MVXOaj8PK2l7WJ3RER9xtqwdhxkhw/edit?usp=sharing"",""ตราด!M464"")"),0)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IFERROR(__xludf.DUMMYFUNCTION("IMPORTRANGE(""https://docs.google.com/spreadsheets/d/1SX6NBoVAgQJ6U1MVXOaj8PK2l7WJ3RER9xtqwdhxkhw/edit?usp=sharing"",""ตราด!M465"")"),0)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IFERROR(__xludf.DUMMYFUNCTION("IMPORTRANGE(""https://docs.google.com/spreadsheets/d/1SX6NBoVAgQJ6U1MVXOaj8PK2l7WJ3RER9xtqwdhxkhw/edit?usp=sharing"",""ตราด!M466"")"),27635)</f>
        <v>27635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IFERROR(__xludf.DUMMYFUNCTION("IMPORTRANGE(""https://docs.google.com/spreadsheets/d/1SX6NBoVAgQJ6U1MVXOaj8PK2l7WJ3RER9xtqwdhxkhw/edit?usp=sharing"",""ตราด!M467"")"),0)</f>
        <v>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IFERROR(__xludf.DUMMYFUNCTION("IMPORTRANGE(""https://docs.google.com/spreadsheets/d/1SX6NBoVAgQJ6U1MVXOaj8PK2l7WJ3RER9xtqwdhxkhw/edit?usp=sharing"",""ตราด!J468"")"),439)</f>
        <v>439</v>
      </c>
      <c r="K573" s="203">
        <f ca="1">IF(I573&gt;0,J573*100/I573,0)</f>
        <v>62.714285714285715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IFERROR(__xludf.DUMMYFUNCTION("IMPORTRANGE(""https://docs.google.com/spreadsheets/d/1SX6NBoVAgQJ6U1MVXOaj8PK2l7WJ3RER9xtqwdhxkhw/edit?usp=sharing"",""ตราด!I470"")"),0)</f>
        <v>0</v>
      </c>
      <c r="J575" s="199">
        <f ca="1">IFERROR(__xludf.DUMMYFUNCTION("IMPORTRANGE(""https://docs.google.com/spreadsheets/d/1SX6NBoVAgQJ6U1MVXOaj8PK2l7WJ3RER9xtqwdhxkhw/edit?usp=sharing"",""ตราด!J470"")"),0)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IFERROR(__xludf.DUMMYFUNCTION("IMPORTRANGE(""https://docs.google.com/spreadsheets/d/1SX6NBoVAgQJ6U1MVXOaj8PK2l7WJ3RER9xtqwdhxkhw/edit?usp=sharing"",""ตราด!I471"")"),0)</f>
        <v>0</v>
      </c>
      <c r="J576" s="199">
        <f ca="1">IFERROR(__xludf.DUMMYFUNCTION("IMPORTRANGE(""https://docs.google.com/spreadsheets/d/1SX6NBoVAgQJ6U1MVXOaj8PK2l7WJ3RER9xtqwdhxkhw/edit?usp=sharing"",""ตราด!J471"")"),0)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IFERROR(__xludf.DUMMYFUNCTION("IMPORTRANGE(""https://docs.google.com/spreadsheets/d/1SX6NBoVAgQJ6U1MVXOaj8PK2l7WJ3RER9xtqwdhxkhw/edit?usp=sharing"",""ตราด!I472"")"),0)</f>
        <v>0</v>
      </c>
      <c r="J577" s="190">
        <f ca="1">IFERROR(__xludf.DUMMYFUNCTION("IMPORTRANGE(""https://docs.google.com/spreadsheets/d/1SX6NBoVAgQJ6U1MVXOaj8PK2l7WJ3RER9xtqwdhxkhw/edit?usp=sharing"",""ตราด!J472"")"),439)</f>
        <v>439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IFERROR(__xludf.DUMMYFUNCTION("IMPORTRANGE(""https://docs.google.com/spreadsheets/d/1SX6NBoVAgQJ6U1MVXOaj8PK2l7WJ3RER9xtqwdhxkhw/edit?usp=sharing"",""ตราด!I473"")"),0)</f>
        <v>0</v>
      </c>
      <c r="J578" s="199">
        <f ca="1">IFERROR(__xludf.DUMMYFUNCTION("IMPORTRANGE(""https://docs.google.com/spreadsheets/d/1SX6NBoVAgQJ6U1MVXOaj8PK2l7WJ3RER9xtqwdhxkhw/edit?usp=sharing"",""ตราด!J473"")"),0)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IFERROR(__xludf.DUMMYFUNCTION("IMPORTRANGE(""https://docs.google.com/spreadsheets/d/1SX6NBoVAgQJ6U1MVXOaj8PK2l7WJ3RER9xtqwdhxkhw/edit?usp=sharing"",""ตราด!I474"")"),0)</f>
        <v>0</v>
      </c>
      <c r="J579" s="199">
        <f ca="1">IFERROR(__xludf.DUMMYFUNCTION("IMPORTRANGE(""https://docs.google.com/spreadsheets/d/1SX6NBoVAgQJ6U1MVXOaj8PK2l7WJ3RER9xtqwdhxkhw/edit?usp=sharing"",""ตราด!J474"")"),0)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IFERROR(__xludf.DUMMYFUNCTION("IMPORTRANGE(""https://docs.google.com/spreadsheets/d/1SX6NBoVAgQJ6U1MVXOaj8PK2l7WJ3RER9xtqwdhxkhw/edit?usp=sharing"",""ตราด!L476"")"),0)</f>
        <v>0</v>
      </c>
      <c r="M581" s="166"/>
      <c r="N581" s="170">
        <f ca="1">IFERROR(__xludf.DUMMYFUNCTION("IMPORTRANGE(""https://docs.google.com/spreadsheets/d/1SX6NBoVAgQJ6U1MVXOaj8PK2l7WJ3RER9xtqwdhxkhw/edit?usp=sharing"",""ตราด!M476"")"),0)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IFERROR(__xludf.DUMMYFUNCTION("IMPORTRANGE(""https://docs.google.com/spreadsheets/d/1SX6NBoVAgQJ6U1MVXOaj8PK2l7WJ3RER9xtqwdhxkhw/edit?usp=sharing"",""ตราด!L477"")"),0)</f>
        <v>0</v>
      </c>
      <c r="M582" s="167"/>
      <c r="N582" s="170">
        <f ca="1">IFERROR(__xludf.DUMMYFUNCTION("IMPORTRANGE(""https://docs.google.com/spreadsheets/d/1SX6NBoVAgQJ6U1MVXOaj8PK2l7WJ3RER9xtqwdhxkhw/edit?usp=sharing"",""ตราด!M477"")"),0)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IFERROR(__xludf.DUMMYFUNCTION("IMPORTRANGE(""https://docs.google.com/spreadsheets/d/1SX6NBoVAgQJ6U1MVXOaj8PK2l7WJ3RER9xtqwdhxkhw/edit?usp=sharing"",""ตราด!L478"")"),0)</f>
        <v>0</v>
      </c>
      <c r="M583" s="170"/>
      <c r="N583" s="170">
        <f ca="1">IFERROR(__xludf.DUMMYFUNCTION("IMPORTRANGE(""https://docs.google.com/spreadsheets/d/1SX6NBoVAgQJ6U1MVXOaj8PK2l7WJ3RER9xtqwdhxkhw/edit?usp=sharing"",""ตราด!M478"")"),0)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IFERROR(__xludf.DUMMYFUNCTION("IMPORTRANGE(""https://docs.google.com/spreadsheets/d/1SX6NBoVAgQJ6U1MVXOaj8PK2l7WJ3RER9xtqwdhxkhw/edit?usp=sharing"",""ตราด!L479"")"),0)</f>
        <v>0</v>
      </c>
      <c r="M584" s="170"/>
      <c r="N584" s="170">
        <f ca="1">IFERROR(__xludf.DUMMYFUNCTION("IMPORTRANGE(""https://docs.google.com/spreadsheets/d/1SX6NBoVAgQJ6U1MVXOaj8PK2l7WJ3RER9xtqwdhxkhw/edit?usp=sharing"",""ตราด!M479"")"),0)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IFERROR(__xludf.DUMMYFUNCTION("IMPORTRANGE(""https://docs.google.com/spreadsheets/d/1SX6NBoVAgQJ6U1MVXOaj8PK2l7WJ3RER9xtqwdhxkhw/edit?usp=sharing"",""ตราด!M480"")"),0)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IFERROR(__xludf.DUMMYFUNCTION("IMPORTRANGE(""https://docs.google.com/spreadsheets/d/1SX6NBoVAgQJ6U1MVXOaj8PK2l7WJ3RER9xtqwdhxkhw/edit?usp=sharing"",""ตราด!M481"")"),0)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IFERROR(__xludf.DUMMYFUNCTION("IMPORTRANGE(""https://docs.google.com/spreadsheets/d/1SX6NBoVAgQJ6U1MVXOaj8PK2l7WJ3RER9xtqwdhxkhw/edit?usp=sharing"",""ตราด!M482"")"),0)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IFERROR(__xludf.DUMMYFUNCTION("IMPORTRANGE(""https://docs.google.com/spreadsheets/d/1SX6NBoVAgQJ6U1MVXOaj8PK2l7WJ3RER9xtqwdhxkhw/edit?usp=sharing"",""ตราด!M483"")"),0)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IFERROR(__xludf.DUMMYFUNCTION("IMPORTRANGE(""https://docs.google.com/spreadsheets/d/1SX6NBoVAgQJ6U1MVXOaj8PK2l7WJ3RER9xtqwdhxkhw/edit?usp=sharing"",""ตราด!I484"")"),0)</f>
        <v>0</v>
      </c>
      <c r="J589" s="189">
        <f ca="1">IFERROR(__xludf.DUMMYFUNCTION("IMPORTRANGE(""https://docs.google.com/spreadsheets/d/1SX6NBoVAgQJ6U1MVXOaj8PK2l7WJ3RER9xtqwdhxkhw/edit?usp=sharing"",""ตราด!J484"")"),0)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9">
        <f ca="1">IFERROR(__xludf.DUMMYFUNCTION("IMPORTRANGE(""https://docs.google.com/spreadsheets/d/1SX6NBoVAgQJ6U1MVXOaj8PK2l7WJ3RER9xtqwdhxkhw/edit?usp=sharing"",""ตราด!J485"")"),0)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IFERROR(__xludf.DUMMYFUNCTION("IMPORTRANGE(""https://docs.google.com/spreadsheets/d/1SX6NBoVAgQJ6U1MVXOaj8PK2l7WJ3RER9xtqwdhxkhw/edit?usp=sharing"",""ตราด!I486"")"),0)</f>
        <v>0</v>
      </c>
      <c r="J591" s="189">
        <f ca="1">IFERROR(__xludf.DUMMYFUNCTION("IMPORTRANGE(""https://docs.google.com/spreadsheets/d/1SX6NBoVAgQJ6U1MVXOaj8PK2l7WJ3RER9xtqwdhxkhw/edit?usp=sharing"",""ตราด!J486"")"),0)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9">
        <f ca="1">IFERROR(__xludf.DUMMYFUNCTION("IMPORTRANGE(""https://docs.google.com/spreadsheets/d/1SX6NBoVAgQJ6U1MVXOaj8PK2l7WJ3RER9xtqwdhxkhw/edit?usp=sharing"",""ตราด!J487"")"),0)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IFERROR(__xludf.DUMMYFUNCTION("IMPORTRANGE(""https://docs.google.com/spreadsheets/d/1SX6NBoVAgQJ6U1MVXOaj8PK2l7WJ3RER9xtqwdhxkhw/edit?usp=sharing"",""ตราด!I488"")"),0)</f>
        <v>0</v>
      </c>
      <c r="J593" s="189">
        <f ca="1">IFERROR(__xludf.DUMMYFUNCTION("IMPORTRANGE(""https://docs.google.com/spreadsheets/d/1SX6NBoVAgQJ6U1MVXOaj8PK2l7WJ3RER9xtqwdhxkhw/edit?usp=sharing"",""ตราด!J488"")"),0)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9">
        <f ca="1">IFERROR(__xludf.DUMMYFUNCTION("IMPORTRANGE(""https://docs.google.com/spreadsheets/d/1SX6NBoVAgQJ6U1MVXOaj8PK2l7WJ3RER9xtqwdhxkhw/edit?usp=sharing"",""ตราด!J489"")"),0)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IFERROR(__xludf.DUMMYFUNCTION("IMPORTRANGE(""https://docs.google.com/spreadsheets/d/1SX6NBoVAgQJ6U1MVXOaj8PK2l7WJ3RER9xtqwdhxkhw/edit?usp=sharing"",""ตราด!I490"")"),0)</f>
        <v>0</v>
      </c>
      <c r="J595" s="189">
        <f ca="1">IFERROR(__xludf.DUMMYFUNCTION("IMPORTRANGE(""https://docs.google.com/spreadsheets/d/1SX6NBoVAgQJ6U1MVXOaj8PK2l7WJ3RER9xtqwdhxkhw/edit?usp=sharing"",""ตราด!J490"")"),0)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7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IFERROR(__xludf.DUMMYFUNCTION("IMPORTRANGE(""https://docs.google.com/spreadsheets/d/1SX6NBoVAgQJ6U1MVXOaj8PK2l7WJ3RER9xtqwdhxkhw/edit?usp=sharing"",""ตราด!L493"")"),0)</f>
        <v>0</v>
      </c>
      <c r="M598" s="166"/>
      <c r="N598" s="170">
        <f ca="1">IFERROR(__xludf.DUMMYFUNCTION("IMPORTRANGE(""https://docs.google.com/spreadsheets/d/1SX6NBoVAgQJ6U1MVXOaj8PK2l7WJ3RER9xtqwdhxkhw/edit?usp=sharing"",""ตราด!M493"")"),0)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IFERROR(__xludf.DUMMYFUNCTION("IMPORTRANGE(""https://docs.google.com/spreadsheets/d/1SX6NBoVAgQJ6U1MVXOaj8PK2l7WJ3RER9xtqwdhxkhw/edit?usp=sharing"",""ตราด!L494"")"),6150)</f>
        <v>6150</v>
      </c>
      <c r="M599" s="167"/>
      <c r="N599" s="170">
        <f ca="1">IFERROR(__xludf.DUMMYFUNCTION("IMPORTRANGE(""https://docs.google.com/spreadsheets/d/1SX6NBoVAgQJ6U1MVXOaj8PK2l7WJ3RER9xtqwdhxkhw/edit?usp=sharing"",""ตราด!M494"")"),3400)</f>
        <v>3400</v>
      </c>
      <c r="O599" s="170">
        <f t="shared" ca="1" si="126"/>
        <v>55.284552845528452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IFERROR(__xludf.DUMMYFUNCTION("IMPORTRANGE(""https://docs.google.com/spreadsheets/d/1SX6NBoVAgQJ6U1MVXOaj8PK2l7WJ3RER9xtqwdhxkhw/edit?usp=sharing"",""ตราด!L495"")"),0)</f>
        <v>0</v>
      </c>
      <c r="M600" s="170"/>
      <c r="N600" s="170">
        <f ca="1">IFERROR(__xludf.DUMMYFUNCTION("IMPORTRANGE(""https://docs.google.com/spreadsheets/d/1SX6NBoVAgQJ6U1MVXOaj8PK2l7WJ3RER9xtqwdhxkhw/edit?usp=sharing"",""ตราด!M495"")"),0)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IFERROR(__xludf.DUMMYFUNCTION("IMPORTRANGE(""https://docs.google.com/spreadsheets/d/1SX6NBoVAgQJ6U1MVXOaj8PK2l7WJ3RER9xtqwdhxkhw/edit?usp=sharing"",""ตราด!L496"")"),6150)</f>
        <v>6150</v>
      </c>
      <c r="M601" s="170"/>
      <c r="N601" s="170">
        <f ca="1">IFERROR(__xludf.DUMMYFUNCTION("IMPORTRANGE(""https://docs.google.com/spreadsheets/d/1SX6NBoVAgQJ6U1MVXOaj8PK2l7WJ3RER9xtqwdhxkhw/edit?usp=sharing"",""ตราด!M496"")"),3400)</f>
        <v>3400</v>
      </c>
      <c r="O601" s="170">
        <f t="shared" ca="1" si="126"/>
        <v>55.284552845528452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IFERROR(__xludf.DUMMYFUNCTION("IMPORTRANGE(""https://docs.google.com/spreadsheets/d/1SX6NBoVAgQJ6U1MVXOaj8PK2l7WJ3RER9xtqwdhxkhw/edit?usp=sharing"",""ตราด!M497"")"),0)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IFERROR(__xludf.DUMMYFUNCTION("IMPORTRANGE(""https://docs.google.com/spreadsheets/d/1SX6NBoVAgQJ6U1MVXOaj8PK2l7WJ3RER9xtqwdhxkhw/edit?usp=sharing"",""ตราด!M498"")"),0)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IFERROR(__xludf.DUMMYFUNCTION("IMPORTRANGE(""https://docs.google.com/spreadsheets/d/1SX6NBoVAgQJ6U1MVXOaj8PK2l7WJ3RER9xtqwdhxkhw/edit?usp=sharing"",""ตราด!M499"")"),0)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IFERROR(__xludf.DUMMYFUNCTION("IMPORTRANGE(""https://docs.google.com/spreadsheets/d/1SX6NBoVAgQJ6U1MVXOaj8PK2l7WJ3RER9xtqwdhxkhw/edit?usp=sharing"",""ตราด!J502"")"),0)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IFERROR(__xludf.DUMMYFUNCTION("IMPORTRANGE(""https://docs.google.com/spreadsheets/d/1SX6NBoVAgQJ6U1MVXOaj8PK2l7WJ3RER9xtqwdhxkhw/edit?usp=sharing"",""ตราด!J503"")"),1)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IFERROR(__xludf.DUMMYFUNCTION("IMPORTRANGE(""https://docs.google.com/spreadsheets/d/1SX6NBoVAgQJ6U1MVXOaj8PK2l7WJ3RER9xtqwdhxkhw/edit?usp=sharing"",""ตราด!J166"")"),0)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IFERROR(__xludf.DUMMYFUNCTION("IMPORTRANGE(""https://docs.google.com/spreadsheets/d/1SX6NBoVAgQJ6U1MVXOaj8PK2l7WJ3RER9xtqwdhxkhw/edit?usp=sharing"",""ตราด!J166"")"),0)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IFERROR(__xludf.DUMMYFUNCTION("IMPORTRANGE(""https://docs.google.com/spreadsheets/d/1SX6NBoVAgQJ6U1MVXOaj8PK2l7WJ3RER9xtqwdhxkhw/edit?usp=sharing"",""ตราด!I506"")"),50)</f>
        <v>50</v>
      </c>
      <c r="J611" s="164">
        <f ca="1">IFERROR(__xludf.DUMMYFUNCTION("IMPORTRANGE(""https://docs.google.com/spreadsheets/d/1SX6NBoVAgQJ6U1MVXOaj8PK2l7WJ3RER9xtqwdhxkhw/edit?usp=sharing"",""ตราด!J506"")"),0)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IFERROR(__xludf.DUMMYFUNCTION("IMPORTRANGE(""https://docs.google.com/spreadsheets/d/1SX6NBoVAgQJ6U1MVXOaj8PK2l7WJ3RER9xtqwdhxkhw/edit?usp=sharing"",""ตราด!I507"")"),0)</f>
        <v>0</v>
      </c>
      <c r="J612" s="199">
        <f ca="1">IFERROR(__xludf.DUMMYFUNCTION("IMPORTRANGE(""https://docs.google.com/spreadsheets/d/1SX6NBoVAgQJ6U1MVXOaj8PK2l7WJ3RER9xtqwdhxkhw/edit?usp=sharing"",""ตราด!J507"")"),0)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IFERROR(__xludf.DUMMYFUNCTION("IMPORTRANGE(""https://docs.google.com/spreadsheets/d/1SX6NBoVAgQJ6U1MVXOaj8PK2l7WJ3RER9xtqwdhxkhw/edit?usp=sharing"",""ตราด!I508"")"),0)</f>
        <v>0</v>
      </c>
      <c r="J613" s="199">
        <f ca="1">IFERROR(__xludf.DUMMYFUNCTION("IMPORTRANGE(""https://docs.google.com/spreadsheets/d/1SX6NBoVAgQJ6U1MVXOaj8PK2l7WJ3RER9xtqwdhxkhw/edit?usp=sharing"",""ตราด!J508"")"),0)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IFERROR(__xludf.DUMMYFUNCTION("IMPORTRANGE(""https://docs.google.com/spreadsheets/d/1SX6NBoVAgQJ6U1MVXOaj8PK2l7WJ3RER9xtqwdhxkhw/edit?usp=sharing"",""ตราด!I509"")"),0)</f>
        <v>0</v>
      </c>
      <c r="J614" s="199">
        <f ca="1">IFERROR(__xludf.DUMMYFUNCTION("IMPORTRANGE(""https://docs.google.com/spreadsheets/d/1SX6NBoVAgQJ6U1MVXOaj8PK2l7WJ3RER9xtqwdhxkhw/edit?usp=sharing"",""ตราด!J509"")"),0)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IFERROR(__xludf.DUMMYFUNCTION("IMPORTRANGE(""https://docs.google.com/spreadsheets/d/1SX6NBoVAgQJ6U1MVXOaj8PK2l7WJ3RER9xtqwdhxkhw/edit?usp=sharing"",""ตราด!I510"")"),0)</f>
        <v>0</v>
      </c>
      <c r="J615" s="199">
        <f ca="1">IFERROR(__xludf.DUMMYFUNCTION("IMPORTRANGE(""https://docs.google.com/spreadsheets/d/1SX6NBoVAgQJ6U1MVXOaj8PK2l7WJ3RER9xtqwdhxkhw/edit?usp=sharing"",""ตราด!J510"")"),0)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IFERROR(__xludf.DUMMYFUNCTION("IMPORTRANGE(""https://docs.google.com/spreadsheets/d/1SX6NBoVAgQJ6U1MVXOaj8PK2l7WJ3RER9xtqwdhxkhw/edit?usp=sharing"",""ตราด!I511"")"),0)</f>
        <v>0</v>
      </c>
      <c r="J616" s="199">
        <f ca="1">IFERROR(__xludf.DUMMYFUNCTION("IMPORTRANGE(""https://docs.google.com/spreadsheets/d/1SX6NBoVAgQJ6U1MVXOaj8PK2l7WJ3RER9xtqwdhxkhw/edit?usp=sharing"",""ตราด!J511"")"),0)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IFERROR(__xludf.DUMMYFUNCTION("IMPORTRANGE(""https://docs.google.com/spreadsheets/d/1SX6NBoVAgQJ6U1MVXOaj8PK2l7WJ3RER9xtqwdhxkhw/edit?usp=sharing"",""ตราด!I512"")"),0)</f>
        <v>0</v>
      </c>
      <c r="J617" s="189">
        <f ca="1">IFERROR(__xludf.DUMMYFUNCTION("IMPORTRANGE(""https://docs.google.com/spreadsheets/d/1SX6NBoVAgQJ6U1MVXOaj8PK2l7WJ3RER9xtqwdhxkhw/edit?usp=sharing"",""ตราด!J512"")"),0)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IFERROR(__xludf.DUMMYFUNCTION("IMPORTRANGE(""https://docs.google.com/spreadsheets/d/1SX6NBoVAgQJ6U1MVXOaj8PK2l7WJ3RER9xtqwdhxkhw/edit?usp=sharing"",""ตราด!I513"")"),0)</f>
        <v>0</v>
      </c>
      <c r="J618" s="190">
        <f ca="1">IFERROR(__xludf.DUMMYFUNCTION("IMPORTRANGE(""https://docs.google.com/spreadsheets/d/1SX6NBoVAgQJ6U1MVXOaj8PK2l7WJ3RER9xtqwdhxkhw/edit?usp=sharing"",""ตราด!J513"")"),0)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IFERROR(__xludf.DUMMYFUNCTION("IMPORTRANGE(""https://docs.google.com/spreadsheets/d/1SX6NBoVAgQJ6U1MVXOaj8PK2l7WJ3RER9xtqwdhxkhw/edit?usp=sharing"",""ตราด!I514"")"),0)</f>
        <v>0</v>
      </c>
      <c r="J619" s="190">
        <f ca="1">IFERROR(__xludf.DUMMYFUNCTION("IMPORTRANGE(""https://docs.google.com/spreadsheets/d/1SX6NBoVAgQJ6U1MVXOaj8PK2l7WJ3RER9xtqwdhxkhw/edit?usp=sharing"",""ตราด!J514"")"),0)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IFERROR(__xludf.DUMMYFUNCTION("IMPORTRANGE(""https://docs.google.com/spreadsheets/d/1SX6NBoVAgQJ6U1MVXOaj8PK2l7WJ3RER9xtqwdhxkhw/edit?usp=sharing"",""ตราด!I515"")"),0)</f>
        <v>0</v>
      </c>
      <c r="J620" s="204">
        <f ca="1">IFERROR(__xludf.DUMMYFUNCTION("IMPORTRANGE(""https://docs.google.com/spreadsheets/d/1SX6NBoVAgQJ6U1MVXOaj8PK2l7WJ3RER9xtqwdhxkhw/edit?usp=sharing"",""ตราด!J515"")"),0)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IFERROR(__xludf.DUMMYFUNCTION("IMPORTRANGE(""https://docs.google.com/spreadsheets/d/1SX6NBoVAgQJ6U1MVXOaj8PK2l7WJ3RER9xtqwdhxkhw/edit?usp=sharing"",""ตราด!I516"")"),0)</f>
        <v>0</v>
      </c>
      <c r="J621" s="204">
        <f ca="1">IFERROR(__xludf.DUMMYFUNCTION("IMPORTRANGE(""https://docs.google.com/spreadsheets/d/1SX6NBoVAgQJ6U1MVXOaj8PK2l7WJ3RER9xtqwdhxkhw/edit?usp=sharing"",""ตราด!J516"")"),0)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IFERROR(__xludf.DUMMYFUNCTION("IMPORTRANGE(""https://docs.google.com/spreadsheets/d/1SX6NBoVAgQJ6U1MVXOaj8PK2l7WJ3RER9xtqwdhxkhw/edit?usp=sharing"",""ตราด!I517"")"),0)</f>
        <v>0</v>
      </c>
      <c r="J622" s="190">
        <f ca="1">IFERROR(__xludf.DUMMYFUNCTION("IMPORTRANGE(""https://docs.google.com/spreadsheets/d/1SX6NBoVAgQJ6U1MVXOaj8PK2l7WJ3RER9xtqwdhxkhw/edit?usp=sharing"",""ตราด!J517"")"),0)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IFERROR(__xludf.DUMMYFUNCTION("IMPORTRANGE(""https://docs.google.com/spreadsheets/d/1SX6NBoVAgQJ6U1MVXOaj8PK2l7WJ3RER9xtqwdhxkhw/edit?usp=sharing"",""ตราด!I518"")"),0)</f>
        <v>0</v>
      </c>
      <c r="J623" s="190">
        <f ca="1">IFERROR(__xludf.DUMMYFUNCTION("IMPORTRANGE(""https://docs.google.com/spreadsheets/d/1SX6NBoVAgQJ6U1MVXOaj8PK2l7WJ3RER9xtqwdhxkhw/edit?usp=sharing"",""ตราด!J518"")"),0)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IFERROR(__xludf.DUMMYFUNCTION("IMPORTRANGE(""https://docs.google.com/spreadsheets/d/1SX6NBoVAgQJ6U1MVXOaj8PK2l7WJ3RER9xtqwdhxkhw/edit?usp=sharing"",""ตราด!I519"")"),0)</f>
        <v>0</v>
      </c>
      <c r="J624" s="189">
        <f ca="1">IFERROR(__xludf.DUMMYFUNCTION("IMPORTRANGE(""https://docs.google.com/spreadsheets/d/1SX6NBoVAgQJ6U1MVXOaj8PK2l7WJ3RER9xtqwdhxkhw/edit?usp=sharing"",""ตราด!J519"")"),0)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IFERROR(__xludf.DUMMYFUNCTION("IMPORTRANGE(""https://docs.google.com/spreadsheets/d/1SX6NBoVAgQJ6U1MVXOaj8PK2l7WJ3RER9xtqwdhxkhw/edit?usp=sharing"",""ตราด!I520"")"),0)</f>
        <v>0</v>
      </c>
      <c r="J625" s="190">
        <f ca="1">IFERROR(__xludf.DUMMYFUNCTION("IMPORTRANGE(""https://docs.google.com/spreadsheets/d/1SX6NBoVAgQJ6U1MVXOaj8PK2l7WJ3RER9xtqwdhxkhw/edit?usp=sharing"",""ตราด!J520"")"),0)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IFERROR(__xludf.DUMMYFUNCTION("IMPORTRANGE(""https://docs.google.com/spreadsheets/d/1SX6NBoVAgQJ6U1MVXOaj8PK2l7WJ3RER9xtqwdhxkhw/edit?usp=sharing"",""ตราด!I521"")"),0)</f>
        <v>0</v>
      </c>
      <c r="J626" s="190">
        <f ca="1">IFERROR(__xludf.DUMMYFUNCTION("IMPORTRANGE(""https://docs.google.com/spreadsheets/d/1SX6NBoVAgQJ6U1MVXOaj8PK2l7WJ3RER9xtqwdhxkhw/edit?usp=sharing"",""ตราด!J521"")"),0)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IFERROR(__xludf.DUMMYFUNCTION("IMPORTRANGE(""https://docs.google.com/spreadsheets/d/1SX6NBoVAgQJ6U1MVXOaj8PK2l7WJ3RER9xtqwdhxkhw/edit?usp=sharing"",""ตราด!I523"")"),2500000)</f>
        <v>2500000</v>
      </c>
      <c r="J628" s="341">
        <f ca="1">IFERROR(__xludf.DUMMYFUNCTION("IMPORTRANGE(""https://docs.google.com/spreadsheets/d/1SX6NBoVAgQJ6U1MVXOaj8PK2l7WJ3RER9xtqwdhxkhw/edit?usp=sharing"",""ตราด!J523"")"),120000)</f>
        <v>120000</v>
      </c>
      <c r="K628" s="342">
        <f t="shared" ref="K628:K635" ca="1" si="129">IF(I628&gt;0,J628*100/I628,0)</f>
        <v>4.8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IFERROR(__xludf.DUMMYFUNCTION("IMPORTRANGE(""https://docs.google.com/spreadsheets/d/1SX6NBoVAgQJ6U1MVXOaj8PK2l7WJ3RER9xtqwdhxkhw/edit?usp=sharing"",""ตราด!I524"")"),117)</f>
        <v>117</v>
      </c>
      <c r="J629" s="341">
        <f ca="1">IFERROR(__xludf.DUMMYFUNCTION("IMPORTRANGE(""https://docs.google.com/spreadsheets/d/1SX6NBoVAgQJ6U1MVXOaj8PK2l7WJ3RER9xtqwdhxkhw/edit?usp=sharing"",""ตราด!J524"")"),4)</f>
        <v>4</v>
      </c>
      <c r="K629" s="342">
        <f t="shared" ca="1" si="129"/>
        <v>3.4188034188034186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IFERROR(__xludf.DUMMYFUNCTION("IMPORTRANGE(""https://docs.google.com/spreadsheets/d/1SX6NBoVAgQJ6U1MVXOaj8PK2l7WJ3RER9xtqwdhxkhw/edit?usp=sharing"",""ตราด!I525"")"),1746021.08)</f>
        <v>1746021.08</v>
      </c>
      <c r="J630" s="341">
        <f ca="1">IFERROR(__xludf.DUMMYFUNCTION("IMPORTRANGE(""https://docs.google.com/spreadsheets/d/1SX6NBoVAgQJ6U1MVXOaj8PK2l7WJ3RER9xtqwdhxkhw/edit?usp=sharing"",""ตราด!J525"")"),241650.16)</f>
        <v>241650.16</v>
      </c>
      <c r="K630" s="342">
        <f t="shared" ca="1" si="129"/>
        <v>13.840048254171135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IFERROR(__xludf.DUMMYFUNCTION("IMPORTRANGE(""https://docs.google.com/spreadsheets/d/1SX6NBoVAgQJ6U1MVXOaj8PK2l7WJ3RER9xtqwdhxkhw/edit?usp=sharing"",""ตราด!I526"")"),45)</f>
        <v>45</v>
      </c>
      <c r="J631" s="341">
        <f ca="1">IFERROR(__xludf.DUMMYFUNCTION("IMPORTRANGE(""https://docs.google.com/spreadsheets/d/1SX6NBoVAgQJ6U1MVXOaj8PK2l7WJ3RER9xtqwdhxkhw/edit?usp=sharing"",""ตราด!J526"")"),22)</f>
        <v>22</v>
      </c>
      <c r="K631" s="342">
        <f t="shared" ca="1" si="129"/>
        <v>48.888888888888886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IFERROR(__xludf.DUMMYFUNCTION("IMPORTRANGE(""https://docs.google.com/spreadsheets/d/1SX6NBoVAgQJ6U1MVXOaj8PK2l7WJ3RER9xtqwdhxkhw/edit?usp=sharing"",""ตราด!I527"")"),0)</f>
        <v>0</v>
      </c>
      <c r="J632" s="341">
        <f ca="1">IFERROR(__xludf.DUMMYFUNCTION("IMPORTRANGE(""https://docs.google.com/spreadsheets/d/1SX6NBoVAgQJ6U1MVXOaj8PK2l7WJ3RER9xtqwdhxkhw/edit?usp=sharing"",""ตราด!J527"")"),0)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IFERROR(__xludf.DUMMYFUNCTION("IMPORTRANGE(""https://docs.google.com/spreadsheets/d/1SX6NBoVAgQJ6U1MVXOaj8PK2l7WJ3RER9xtqwdhxkhw/edit?usp=sharing"",""ตราด!I528"")"),0)</f>
        <v>0</v>
      </c>
      <c r="J633" s="341">
        <f ca="1">IFERROR(__xludf.DUMMYFUNCTION("IMPORTRANGE(""https://docs.google.com/spreadsheets/d/1SX6NBoVAgQJ6U1MVXOaj8PK2l7WJ3RER9xtqwdhxkhw/edit?usp=sharing"",""ตราด!J528"")"),0)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IFERROR(__xludf.DUMMYFUNCTION("IMPORTRANGE(""https://docs.google.com/spreadsheets/d/1SX6NBoVAgQJ6U1MVXOaj8PK2l7WJ3RER9xtqwdhxkhw/edit?usp=sharing"",""ตราด!I529"")"),2000000)</f>
        <v>2000000</v>
      </c>
      <c r="J634" s="341">
        <f ca="1">IFERROR(__xludf.DUMMYFUNCTION("IMPORTRANGE(""https://docs.google.com/spreadsheets/d/1SX6NBoVAgQJ6U1MVXOaj8PK2l7WJ3RER9xtqwdhxkhw/edit?usp=sharing"",""ตราด!J529"")"),0)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IFERROR(__xludf.DUMMYFUNCTION("IMPORTRANGE(""https://docs.google.com/spreadsheets/d/1SX6NBoVAgQJ6U1MVXOaj8PK2l7WJ3RER9xtqwdhxkhw/edit?usp=sharing"",""ตราด!I530"")"),117)</f>
        <v>117</v>
      </c>
      <c r="J635" s="504">
        <f ca="1">IFERROR(__xludf.DUMMYFUNCTION("IMPORTRANGE(""https://docs.google.com/spreadsheets/d/1SX6NBoVAgQJ6U1MVXOaj8PK2l7WJ3RER9xtqwdhxkhw/edit?usp=sharing"",""ตราด!J530"")"),0)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L545" sqref="L545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250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3144690</v>
      </c>
      <c r="M8" s="23">
        <f t="shared" ca="1" si="0"/>
        <v>1247596</v>
      </c>
      <c r="N8" s="23">
        <f t="shared" ca="1" si="0"/>
        <v>1036592</v>
      </c>
      <c r="O8" s="22">
        <f t="shared" ref="O8:O16" ca="1" si="1">IF(L8&gt;0,N8*100/L8,0)</f>
        <v>32.963249159694598</v>
      </c>
      <c r="P8" s="22">
        <f t="shared" ref="P8:P16" ca="1" si="2">IF(M8&gt;0,N8*100/M8,0)</f>
        <v>83.087153213059352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3144690</v>
      </c>
      <c r="M10" s="30">
        <f t="shared" ca="1" si="4"/>
        <v>1247596</v>
      </c>
      <c r="N10" s="30">
        <f t="shared" ca="1" si="4"/>
        <v>1036592</v>
      </c>
      <c r="O10" s="29">
        <f t="shared" ca="1" si="1"/>
        <v>32.963249159694598</v>
      </c>
      <c r="P10" s="29">
        <f t="shared" ca="1" si="2"/>
        <v>83.087153213059352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3106890</v>
      </c>
      <c r="M12" s="38">
        <f t="shared" ca="1" si="6"/>
        <v>1209796</v>
      </c>
      <c r="N12" s="38">
        <f t="shared" ca="1" si="6"/>
        <v>998792</v>
      </c>
      <c r="O12" s="38">
        <f t="shared" ca="1" si="1"/>
        <v>32.147646038321277</v>
      </c>
      <c r="P12" s="38">
        <f t="shared" ca="1" si="2"/>
        <v>82.558712377954635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1288990</v>
      </c>
      <c r="M14" s="38">
        <f t="shared" si="8"/>
        <v>0</v>
      </c>
      <c r="N14" s="38">
        <f t="shared" ca="1" si="8"/>
        <v>182560</v>
      </c>
      <c r="O14" s="38">
        <f t="shared" ca="1" si="1"/>
        <v>14.163026865995857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2357880</v>
      </c>
      <c r="M18" s="23">
        <f t="shared" ca="1" si="11"/>
        <v>1247596</v>
      </c>
      <c r="N18" s="23">
        <f t="shared" ca="1" si="11"/>
        <v>854032</v>
      </c>
      <c r="O18" s="22">
        <f t="shared" ref="O18:O20" ca="1" si="12">IF(L18&gt;0,N18*100/L18,0)</f>
        <v>36.22033351994164</v>
      </c>
      <c r="P18" s="22">
        <f t="shared" ref="P18:P26" ca="1" si="13">IF(M18&gt;0,N18*100/M18,0)</f>
        <v>68.454211138862263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2357880</v>
      </c>
      <c r="M20" s="30">
        <f t="shared" ca="1" si="15"/>
        <v>1247596</v>
      </c>
      <c r="N20" s="30">
        <f t="shared" ca="1" si="15"/>
        <v>854032</v>
      </c>
      <c r="O20" s="29">
        <f t="shared" ca="1" si="12"/>
        <v>36.22033351994164</v>
      </c>
      <c r="P20" s="29">
        <f t="shared" ca="1" si="13"/>
        <v>68.454211138862263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2320080</v>
      </c>
      <c r="M22" s="41">
        <f t="shared" ca="1" si="18"/>
        <v>1209796</v>
      </c>
      <c r="N22" s="38">
        <f t="shared" ca="1" si="18"/>
        <v>816232</v>
      </c>
      <c r="O22" s="38">
        <f t="shared" ca="1" si="17"/>
        <v>35.181200648253508</v>
      </c>
      <c r="P22" s="38">
        <f t="shared" ca="1" si="13"/>
        <v>67.468564948140013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786810</v>
      </c>
      <c r="M28" s="23">
        <f t="shared" si="23"/>
        <v>0</v>
      </c>
      <c r="N28" s="23">
        <f t="shared" ca="1" si="23"/>
        <v>182560</v>
      </c>
      <c r="O28" s="22">
        <f t="shared" ref="O28:O30" ca="1" si="24">IF(L28&gt;0,N28*100/L28,0)</f>
        <v>23.202552077375731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786810</v>
      </c>
      <c r="M30" s="30">
        <f t="shared" si="27"/>
        <v>0</v>
      </c>
      <c r="N30" s="30">
        <f t="shared" ca="1" si="27"/>
        <v>182560</v>
      </c>
      <c r="O30" s="29">
        <f t="shared" ca="1" si="24"/>
        <v>23.202552077375731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786810</v>
      </c>
      <c r="M32" s="38">
        <f t="shared" si="30"/>
        <v>0</v>
      </c>
      <c r="N32" s="38">
        <f t="shared" ca="1" si="30"/>
        <v>182560</v>
      </c>
      <c r="O32" s="38">
        <f t="shared" ca="1" si="29"/>
        <v>23.202552077375731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786810</v>
      </c>
      <c r="M34" s="38">
        <f t="shared" si="32"/>
        <v>0</v>
      </c>
      <c r="N34" s="38">
        <f t="shared" ca="1" si="32"/>
        <v>182560</v>
      </c>
      <c r="O34" s="38">
        <f t="shared" ca="1" si="29"/>
        <v>23.202552077375731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2357880</v>
      </c>
      <c r="M37" s="54">
        <f t="shared" ca="1" si="33"/>
        <v>1247596</v>
      </c>
      <c r="N37" s="54">
        <f t="shared" ca="1" si="33"/>
        <v>854032</v>
      </c>
      <c r="O37" s="55">
        <f t="shared" ca="1" si="29"/>
        <v>36.22033351994164</v>
      </c>
      <c r="P37" s="55">
        <f t="shared" ca="1" si="25"/>
        <v>68.454211138862263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322100</v>
      </c>
      <c r="N41" s="78">
        <f t="shared" ca="1" si="34"/>
        <v>277596</v>
      </c>
      <c r="O41" s="77">
        <f t="shared" ref="O41:O43" ca="1" si="35">IF(L41&gt;0,N41*100/L41,0)</f>
        <v>43.098276665114113</v>
      </c>
      <c r="P41" s="77">
        <f t="shared" ref="P41:P43" ca="1" si="36">IF(M41&gt;0,N41*100/M41,0)</f>
        <v>86.183172927662213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322100</v>
      </c>
      <c r="N43" s="78">
        <f t="shared" ca="1" si="38"/>
        <v>277596</v>
      </c>
      <c r="O43" s="77">
        <f t="shared" ca="1" si="35"/>
        <v>43.098276665114113</v>
      </c>
      <c r="P43" s="77">
        <f t="shared" ca="1" si="36"/>
        <v>86.183172927662213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IFERROR(__xludf.DUMMYFUNCTION("IMPORTRANGE(""https://docs.google.com/spreadsheets/d/1Yj_ptqi66GCucihVvJfMjLAmec39IyEx_6qawtMGysU/edit?usp=sharing"",""สบก!Q65"")"),322100)</f>
        <v>322100</v>
      </c>
      <c r="N45" s="49">
        <f ca="1">IFERROR(__xludf.DUMMYFUNCTION("IMPORTRANGE(""https://docs.google.com/spreadsheets/d/1Yj_ptqi66GCucihVvJfMjLAmec39IyEx_6qawtMGysU/edit?usp=sharing"",""สบก!R65"")"),277596)</f>
        <v>277596</v>
      </c>
      <c r="O45" s="38">
        <f ca="1">IF(L45&gt;0,N45*100/L45,0)</f>
        <v>43.098276665114113</v>
      </c>
      <c r="P45" s="38">
        <f ca="1">IF(M45&gt;0,N45*100/M45,0)</f>
        <v>86.183172927662213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184706</v>
      </c>
      <c r="N53" s="121">
        <f t="shared" ca="1" si="39"/>
        <v>127673</v>
      </c>
      <c r="O53" s="120">
        <f t="shared" ref="O53:O55" ca="1" si="40">IF(L53&gt;0,N53*100/L53,0)</f>
        <v>37.595111896348648</v>
      </c>
      <c r="P53" s="120">
        <f t="shared" ref="P53:P55" ca="1" si="41">IF(M53&gt;0,N53*100/M53,0)</f>
        <v>69.122280813833882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184706</v>
      </c>
      <c r="N55" s="121">
        <f t="shared" ca="1" si="43"/>
        <v>127673</v>
      </c>
      <c r="O55" s="120">
        <f t="shared" ca="1" si="40"/>
        <v>37.595111896348648</v>
      </c>
      <c r="P55" s="120">
        <f t="shared" ca="1" si="41"/>
        <v>69.122280813833882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IFERROR(__xludf.DUMMYFUNCTION("IMPORTRANGE(""https://docs.google.com/spreadsheets/d/1Yj_ptqi66GCucihVvJfMjLAmec39IyEx_6qawtMGysU/edit?usp=sharing"",""สบก!Z65"")"),184706)</f>
        <v>184706</v>
      </c>
      <c r="N57" s="49">
        <f ca="1">IFERROR(__xludf.DUMMYFUNCTION("IMPORTRANGE(""https://docs.google.com/spreadsheets/d/1Yj_ptqi66GCucihVvJfMjLAmec39IyEx_6qawtMGysU/edit?usp=sharing"",""สบก!AA65"")"),127673)</f>
        <v>127673</v>
      </c>
      <c r="O57" s="38">
        <f ca="1">IF(L57&gt;0,N57*100/L57,0)</f>
        <v>37.595111896348648</v>
      </c>
      <c r="P57" s="38">
        <f ca="1">IF(M57&gt;0,N57*100/M57,0)</f>
        <v>69.122280813833882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IFERROR(__xludf.DUMMYFUNCTION("IMPORTRANGE(""https://docs.google.com/spreadsheets/d/1Yj_ptqi66GCucihVvJfMjLAmec39IyEx_6qawtMGysU/edit?usp=sharing"",""สบก!AI65"")"),0)</f>
        <v>0</v>
      </c>
      <c r="N70" s="170">
        <f ca="1">IFERROR(__xludf.DUMMYFUNCTION("IMPORTRANGE(""https://docs.google.com/spreadsheets/d/1Yj_ptqi66GCucihVvJfMjLAmec39IyEx_6qawtMGysU/edit?usp=sharing"",""สบก!AJ65"")"),0)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IFERROR(__xludf.DUMMYFUNCTION("IMPORTRANGE(""https://docs.google.com/spreadsheets/d/1Yj_ptqi66GCucihVvJfMjLAmec39IyEx_6qawtMGysU/edit?usp=sharing"",""สบก!AE65"")"),0)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IFERROR(__xludf.DUMMYFUNCTION("IMPORTRANGE(""https://docs.google.com/spreadsheets/d/1Yj_ptqi66GCucihVvJfMjLAmec39IyEx_6qawtMGysU/edit?usp=sharing"",""สบก!AF65"")"),0)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IFERROR(__xludf.DUMMYFUNCTION("IMPORTRANGE(""https://docs.google.com/spreadsheets/d/1SX6NBoVAgQJ6U1MVXOaj8PK2l7WJ3RER9xtqwdhxkhw/edit?usp=sharing"",""นครนายก!J16"")"),0)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IFERROR(__xludf.DUMMYFUNCTION("IMPORTRANGE(""https://docs.google.com/spreadsheets/d/1SX6NBoVAgQJ6U1MVXOaj8PK2l7WJ3RER9xtqwdhxkhw/edit?usp=sharing"",""นครนายก!J17"")"),0)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IFERROR(__xludf.DUMMYFUNCTION("IMPORTRANGE(""https://docs.google.com/spreadsheets/d/1SX6NBoVAgQJ6U1MVXOaj8PK2l7WJ3RER9xtqwdhxkhw/edit?usp=sharing"",""นครนายก!J18"")"),0)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IFERROR(__xludf.DUMMYFUNCTION("IMPORTRANGE(""https://docs.google.com/spreadsheets/d/1SX6NBoVAgQJ6U1MVXOaj8PK2l7WJ3RER9xtqwdhxkhw/edit?usp=sharing"",""นครนายก!J19"")"),0)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IFERROR(__xludf.DUMMYFUNCTION("IMPORTRANGE(""https://docs.google.com/spreadsheets/d/1SX6NBoVAgQJ6U1MVXOaj8PK2l7WJ3RER9xtqwdhxkhw/edit?usp=sharing"",""นครนายก!I20"")"),0)</f>
        <v>0</v>
      </c>
      <c r="J80" s="202">
        <f ca="1">IFERROR(__xludf.DUMMYFUNCTION("IMPORTRANGE(""https://docs.google.com/spreadsheets/d/1SX6NBoVAgQJ6U1MVXOaj8PK2l7WJ3RER9xtqwdhxkhw/edit?usp=sharing"",""นครนายก!J20"")"),0)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IFERROR(__xludf.DUMMYFUNCTION("IMPORTRANGE(""https://docs.google.com/spreadsheets/d/1SX6NBoVAgQJ6U1MVXOaj8PK2l7WJ3RER9xtqwdhxkhw/edit?usp=sharing"",""นครนายก!I21"")"),0)</f>
        <v>0</v>
      </c>
      <c r="J81" s="202">
        <f ca="1">IFERROR(__xludf.DUMMYFUNCTION("IMPORTRANGE(""https://docs.google.com/spreadsheets/d/1SX6NBoVAgQJ6U1MVXOaj8PK2l7WJ3RER9xtqwdhxkhw/edit?usp=sharing"",""นครนายก!J21"")"),0)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IFERROR(__xludf.DUMMYFUNCTION("IMPORTRANGE(""https://docs.google.com/spreadsheets/d/1SX6NBoVAgQJ6U1MVXOaj8PK2l7WJ3RER9xtqwdhxkhw/edit?usp=sharing"",""นครนายก!I22"")"),0)</f>
        <v>0</v>
      </c>
      <c r="J82" s="205">
        <f ca="1">IFERROR(__xludf.DUMMYFUNCTION("IMPORTRANGE(""https://docs.google.com/spreadsheets/d/1SX6NBoVAgQJ6U1MVXOaj8PK2l7WJ3RER9xtqwdhxkhw/edit?usp=sharing"",""นครนายก!J22"")"),0)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IFERROR(__xludf.DUMMYFUNCTION("IMPORTRANGE(""https://docs.google.com/spreadsheets/d/1SX6NBoVAgQJ6U1MVXOaj8PK2l7WJ3RER9xtqwdhxkhw/edit?usp=sharing"",""นครนายก!I23"")"),0)</f>
        <v>0</v>
      </c>
      <c r="J83" s="205">
        <f ca="1">IFERROR(__xludf.DUMMYFUNCTION("IMPORTRANGE(""https://docs.google.com/spreadsheets/d/1SX6NBoVAgQJ6U1MVXOaj8PK2l7WJ3RER9xtqwdhxkhw/edit?usp=sharing"",""นครนายก!J23"")"),0)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IFERROR(__xludf.DUMMYFUNCTION("IMPORTRANGE(""https://docs.google.com/spreadsheets/d/1SX6NBoVAgQJ6U1MVXOaj8PK2l7WJ3RER9xtqwdhxkhw/edit?usp=sharing"",""นครนายก!I24"")"),0)</f>
        <v>0</v>
      </c>
      <c r="J84" s="190">
        <f ca="1">IFERROR(__xludf.DUMMYFUNCTION("IMPORTRANGE(""https://docs.google.com/spreadsheets/d/1SX6NBoVAgQJ6U1MVXOaj8PK2l7WJ3RER9xtqwdhxkhw/edit?usp=sharing"",""นครนายก!J24"")"),0)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IFERROR(__xludf.DUMMYFUNCTION("IMPORTRANGE(""https://docs.google.com/spreadsheets/d/1SX6NBoVAgQJ6U1MVXOaj8PK2l7WJ3RER9xtqwdhxkhw/edit?usp=sharing"",""นครนายก!I25"")"),0)</f>
        <v>0</v>
      </c>
      <c r="J85" s="190">
        <f ca="1">IFERROR(__xludf.DUMMYFUNCTION("IMPORTRANGE(""https://docs.google.com/spreadsheets/d/1SX6NBoVAgQJ6U1MVXOaj8PK2l7WJ3RER9xtqwdhxkhw/edit?usp=sharing"",""นครนายก!J25"")"),0)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IFERROR(__xludf.DUMMYFUNCTION("IMPORTRANGE(""https://docs.google.com/spreadsheets/d/1SX6NBoVAgQJ6U1MVXOaj8PK2l7WJ3RER9xtqwdhxkhw/edit?usp=sharing"",""นครนายก!I26"")"),0)</f>
        <v>0</v>
      </c>
      <c r="J86" s="205">
        <f ca="1">IFERROR(__xludf.DUMMYFUNCTION("IMPORTRANGE(""https://docs.google.com/spreadsheets/d/1SX6NBoVAgQJ6U1MVXOaj8PK2l7WJ3RER9xtqwdhxkhw/edit?usp=sharing"",""นครนายก!J26"")"),0)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IFERROR(__xludf.DUMMYFUNCTION("IMPORTRANGE(""https://docs.google.com/spreadsheets/d/1SX6NBoVAgQJ6U1MVXOaj8PK2l7WJ3RER9xtqwdhxkhw/edit?usp=sharing"",""นครนายก!I27"")"),0)</f>
        <v>0</v>
      </c>
      <c r="J87" s="205">
        <f ca="1">IFERROR(__xludf.DUMMYFUNCTION("IMPORTRANGE(""https://docs.google.com/spreadsheets/d/1SX6NBoVAgQJ6U1MVXOaj8PK2l7WJ3RER9xtqwdhxkhw/edit?usp=sharing"",""นครนายก!J27"")"),0)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IFERROR(__xludf.DUMMYFUNCTION("IMPORTRANGE(""https://docs.google.com/spreadsheets/d/1SX6NBoVAgQJ6U1MVXOaj8PK2l7WJ3RER9xtqwdhxkhw/edit?usp=sharing"",""นครนายก!I28"")"),0)</f>
        <v>0</v>
      </c>
      <c r="J88" s="205">
        <f ca="1">IFERROR(__xludf.DUMMYFUNCTION("IMPORTRANGE(""https://docs.google.com/spreadsheets/d/1SX6NBoVAgQJ6U1MVXOaj8PK2l7WJ3RER9xtqwdhxkhw/edit?usp=sharing"",""นครนายก!J28"")"),0)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IFERROR(__xludf.DUMMYFUNCTION("IMPORTRANGE(""https://docs.google.com/spreadsheets/d/1SX6NBoVAgQJ6U1MVXOaj8PK2l7WJ3RER9xtqwdhxkhw/edit?usp=sharing"",""นครนายก!J29"")"),0)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IFERROR(__xludf.DUMMYFUNCTION("IMPORTRANGE(""https://docs.google.com/spreadsheets/d/1Yj_ptqi66GCucihVvJfMjLAmec39IyEx_6qawtMGysU/edit?usp=sharing"",""สบก!AR65"")"),0)</f>
        <v>0</v>
      </c>
      <c r="N98" s="170">
        <f ca="1">IFERROR(__xludf.DUMMYFUNCTION("IMPORTRANGE(""https://docs.google.com/spreadsheets/d/1Yj_ptqi66GCucihVvJfMjLAmec39IyEx_6qawtMGysU/edit?usp=sharing"",""สบก!AS65"")"),0)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IFERROR(__xludf.DUMMYFUNCTION("IMPORTRANGE(""https://docs.google.com/spreadsheets/d/1Yj_ptqi66GCucihVvJfMjLAmec39IyEx_6qawtMGysU/edit?usp=sharing"",""สบก!AN65"")"),0)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IFERROR(__xludf.DUMMYFUNCTION("IMPORTRANGE(""https://docs.google.com/spreadsheets/d/1Yj_ptqi66GCucihVvJfMjLAmec39IyEx_6qawtMGysU/edit?usp=sharing"",""สบก!AO65"")"),0)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IFERROR(__xludf.DUMMYFUNCTION("IMPORTRANGE(""https://docs.google.com/spreadsheets/d/1SX6NBoVAgQJ6U1MVXOaj8PK2l7WJ3RER9xtqwdhxkhw/edit?usp=sharing"",""นครนายก!I43"")"),0)</f>
        <v>0</v>
      </c>
      <c r="J108" s="205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IFERROR(__xludf.DUMMYFUNCTION("IMPORTRANGE(""https://docs.google.com/spreadsheets/d/1SX6NBoVAgQJ6U1MVXOaj8PK2l7WJ3RER9xtqwdhxkhw/edit?usp=sharing"",""นครนายก!I44"")"),0)</f>
        <v>0</v>
      </c>
      <c r="J109" s="205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IFERROR(__xludf.DUMMYFUNCTION("IMPORTRANGE(""https://docs.google.com/spreadsheets/d/1SX6NBoVAgQJ6U1MVXOaj8PK2l7WJ3RER9xtqwdhxkhw/edit?usp=sharing"",""นครนายก!I45"")"),0)</f>
        <v>0</v>
      </c>
      <c r="J110" s="205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IFERROR(__xludf.DUMMYFUNCTION("IMPORTRANGE(""https://docs.google.com/spreadsheets/d/1SX6NBoVAgQJ6U1MVXOaj8PK2l7WJ3RER9xtqwdhxkhw/edit?usp=sharing"",""นครนายก!I46"")"),0)</f>
        <v>0</v>
      </c>
      <c r="J111" s="205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IFERROR(__xludf.DUMMYFUNCTION("IMPORTRANGE(""https://docs.google.com/spreadsheets/d/1SX6NBoVAgQJ6U1MVXOaj8PK2l7WJ3RER9xtqwdhxkhw/edit?usp=sharing"",""นครนายก!I47"")"),0)</f>
        <v>0</v>
      </c>
      <c r="J112" s="205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IFERROR(__xludf.DUMMYFUNCTION("IMPORTRANGE(""https://docs.google.com/spreadsheets/d/1SX6NBoVAgQJ6U1MVXOaj8PK2l7WJ3RER9xtqwdhxkhw/edit?usp=sharing"",""นครนายก!I48"")"),0)</f>
        <v>0</v>
      </c>
      <c r="J113" s="205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IFERROR(__xludf.DUMMYFUNCTION("IMPORTRANGE(""https://docs.google.com/spreadsheets/d/1Yj_ptqi66GCucihVvJfMjLAmec39IyEx_6qawtMGysU/edit?usp=sharing"",""สบก!BA65"")"),0)</f>
        <v>0</v>
      </c>
      <c r="N122" s="170">
        <f ca="1">IFERROR(__xludf.DUMMYFUNCTION("IMPORTRANGE(""https://docs.google.com/spreadsheets/d/1Yj_ptqi66GCucihVvJfMjLAmec39IyEx_6qawtMGysU/edit?usp=sharing"",""สบก!BB65"")"),0)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IFERROR(__xludf.DUMMYFUNCTION("IMPORTRANGE(""https://docs.google.com/spreadsheets/d/1Yj_ptqi66GCucihVvJfMjLAmec39IyEx_6qawtMGysU/edit?usp=sharing"",""สบก!AW65"")"),0)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IFERROR(__xludf.DUMMYFUNCTION("IMPORTRANGE(""https://docs.google.com/spreadsheets/d/1Yj_ptqi66GCucihVvJfMjLAmec39IyEx_6qawtMGysU/edit?usp=sharing"",""สบก!AX65"")"),0)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251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IFERROR(__xludf.DUMMYFUNCTION("IMPORTRANGE(""https://docs.google.com/spreadsheets/d/1SX6NBoVAgQJ6U1MVXOaj8PK2l7WJ3RER9xtqwdhxkhw/edit?usp=sharing"",""นครนายก!I62"")"),0)</f>
        <v>0</v>
      </c>
      <c r="J132" s="205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IFERROR(__xludf.DUMMYFUNCTION("IMPORTRANGE(""https://docs.google.com/spreadsheets/d/1SX6NBoVAgQJ6U1MVXOaj8PK2l7WJ3RER9xtqwdhxkhw/edit?usp=sharing"",""นครนายก!I63"")"),0)</f>
        <v>0</v>
      </c>
      <c r="J133" s="205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569800</v>
      </c>
      <c r="M140" s="152">
        <f t="shared" ca="1" si="64"/>
        <v>315050</v>
      </c>
      <c r="N140" s="152">
        <f t="shared" ca="1" si="64"/>
        <v>131527</v>
      </c>
      <c r="O140" s="151">
        <f t="shared" ref="O140:O142" ca="1" si="65">IF(L140&gt;0,N140*100/L140,0)</f>
        <v>23.083011583011583</v>
      </c>
      <c r="P140" s="151">
        <f t="shared" ref="P140:P142" ca="1" si="66">IF(M140&gt;0,N140*100/M140,0)</f>
        <v>41.747976511664817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569800</v>
      </c>
      <c r="M142" s="157">
        <f t="shared" ca="1" si="68"/>
        <v>315050</v>
      </c>
      <c r="N142" s="157">
        <f t="shared" ca="1" si="68"/>
        <v>131527</v>
      </c>
      <c r="O142" s="156">
        <f t="shared" ca="1" si="65"/>
        <v>23.083011583011583</v>
      </c>
      <c r="P142" s="156">
        <f t="shared" ca="1" si="66"/>
        <v>41.747976511664817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569800</v>
      </c>
      <c r="M144" s="169">
        <f ca="1">IFERROR(__xludf.DUMMYFUNCTION("IMPORTRANGE(""https://docs.google.com/spreadsheets/d/1Yj_ptqi66GCucihVvJfMjLAmec39IyEx_6qawtMGysU/edit?usp=sharing"",""สบก!BJ65"")"),315050)</f>
        <v>315050</v>
      </c>
      <c r="N144" s="170">
        <f ca="1">IFERROR(__xludf.DUMMYFUNCTION("IMPORTRANGE(""https://docs.google.com/spreadsheets/d/1Yj_ptqi66GCucihVvJfMjLAmec39IyEx_6qawtMGysU/edit?usp=sharing"",""สบก!BK65"")"),131527)</f>
        <v>131527</v>
      </c>
      <c r="O144" s="170">
        <f ca="1">IF(L144&gt;0,N144*100/L144,0)</f>
        <v>23.083011583011583</v>
      </c>
      <c r="P144" s="170">
        <f ca="1">IF(M144&gt;0,N144*100/M144,0)</f>
        <v>41.747976511664817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IFERROR(__xludf.DUMMYFUNCTION("IMPORTRANGE(""https://docs.google.com/spreadsheets/d/1Yj_ptqi66GCucihVvJfMjLAmec39IyEx_6qawtMGysU/edit?usp=sharing"",""สบก!BF65"")"),305000)</f>
        <v>305000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IFERROR(__xludf.DUMMYFUNCTION("IMPORTRANGE(""https://docs.google.com/spreadsheets/d/1Yj_ptqi66GCucihVvJfMjLAmec39IyEx_6qawtMGysU/edit?usp=sharing"",""สบก!BG65"")"),264800)</f>
        <v>264800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IFERROR(__xludf.DUMMYFUNCTION("IMPORTRANGE(""https://docs.google.com/spreadsheets/d/1SX6NBoVAgQJ6U1MVXOaj8PK2l7WJ3RER9xtqwdhxkhw/edit?usp=sharing"",""นครนายก!J79"")"),1)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IFERROR(__xludf.DUMMYFUNCTION("IMPORTRANGE(""https://docs.google.com/spreadsheets/d/1SX6NBoVAgQJ6U1MVXOaj8PK2l7WJ3RER9xtqwdhxkhw/edit?usp=sharing"",""นครนายก!J80"")"),0)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IFERROR(__xludf.DUMMYFUNCTION("IMPORTRANGE(""https://docs.google.com/spreadsheets/d/1SX6NBoVAgQJ6U1MVXOaj8PK2l7WJ3RER9xtqwdhxkhw/edit?usp=sharing"",""นครนายก!J81"")"),0)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IFERROR(__xludf.DUMMYFUNCTION("IMPORTRANGE(""https://docs.google.com/spreadsheets/d/1SX6NBoVAgQJ6U1MVXOaj8PK2l7WJ3RER9xtqwdhxkhw/edit?usp=sharing"",""นครนายก!J82"")"),0)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IFERROR(__xludf.DUMMYFUNCTION("IMPORTRANGE(""https://docs.google.com/spreadsheets/d/1SX6NBoVAgQJ6U1MVXOaj8PK2l7WJ3RER9xtqwdhxkhw/edit?usp=sharing"",""นครนายก!I83"")"),4)</f>
        <v>4</v>
      </c>
      <c r="J158" s="190">
        <f ca="1">IFERROR(__xludf.DUMMYFUNCTION("IMPORTRANGE(""https://docs.google.com/spreadsheets/d/1SX6NBoVAgQJ6U1MVXOaj8PK2l7WJ3RER9xtqwdhxkhw/edit?usp=sharing"",""นครนายก!J83"")"),1)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IFERROR(__xludf.DUMMYFUNCTION("IMPORTRANGE(""https://docs.google.com/spreadsheets/d/1SX6NBoVAgQJ6U1MVXOaj8PK2l7WJ3RER9xtqwdhxkhw/edit?usp=sharing"",""นครนายก!J84"")"),96)</f>
        <v>96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IFERROR(__xludf.DUMMYFUNCTION("IMPORTRANGE(""https://docs.google.com/spreadsheets/d/1SX6NBoVAgQJ6U1MVXOaj8PK2l7WJ3RER9xtqwdhxkhw/edit?usp=sharing"",""นครนายก!J85"")"),96)</f>
        <v>96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IFERROR(__xludf.DUMMYFUNCTION("IMPORTRANGE(""https://docs.google.com/spreadsheets/d/1SX6NBoVAgQJ6U1MVXOaj8PK2l7WJ3RER9xtqwdhxkhw/edit?usp=sharing"",""นครนายก!J86"")"),0)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IFERROR(__xludf.DUMMYFUNCTION("IMPORTRANGE(""https://docs.google.com/spreadsheets/d/1SX6NBoVAgQJ6U1MVXOaj8PK2l7WJ3RER9xtqwdhxkhw/edit?usp=sharing"",""นครนายก!J87"")"),0)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IFERROR(__xludf.DUMMYFUNCTION("IMPORTRANGE(""https://docs.google.com/spreadsheets/d/1SX6NBoVAgQJ6U1MVXOaj8PK2l7WJ3RER9xtqwdhxkhw/edit?usp=sharing"",""นครนายก!J88"")"),0)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IFERROR(__xludf.DUMMYFUNCTION("IMPORTRANGE(""https://docs.google.com/spreadsheets/d/1SX6NBoVAgQJ6U1MVXOaj8PK2l7WJ3RER9xtqwdhxkhw/edit?usp=sharing"",""นครนายก!I89"")"),3)</f>
        <v>3</v>
      </c>
      <c r="J164" s="284">
        <f ca="1">IFERROR(__xludf.DUMMYFUNCTION("IMPORTRANGE(""https://docs.google.com/spreadsheets/d/1SX6NBoVAgQJ6U1MVXOaj8PK2l7WJ3RER9xtqwdhxkhw/edit?usp=sharing"",""นครนายก!J89"")"),0)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IFERROR(__xludf.DUMMYFUNCTION("IMPORTRANGE(""https://docs.google.com/spreadsheets/d/1SX6NBoVAgQJ6U1MVXOaj8PK2l7WJ3RER9xtqwdhxkhw/edit?usp=sharing"",""นครนายก!J94"")"),1)</f>
        <v>1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IFERROR(__xludf.DUMMYFUNCTION("IMPORTRANGE(""https://docs.google.com/spreadsheets/d/1SX6NBoVAgQJ6U1MVXOaj8PK2l7WJ3RER9xtqwdhxkhw/edit?usp=sharing"",""นครนายก!J95"")"),0)</f>
        <v>0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IFERROR(__xludf.DUMMYFUNCTION("IMPORTRANGE(""https://docs.google.com/spreadsheets/d/1SX6NBoVAgQJ6U1MVXOaj8PK2l7WJ3RER9xtqwdhxkhw/edit?usp=sharing"",""นครนายก!J96"")"),0)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IFERROR(__xludf.DUMMYFUNCTION("IMPORTRANGE(""https://docs.google.com/spreadsheets/d/1SX6NBoVAgQJ6U1MVXOaj8PK2l7WJ3RER9xtqwdhxkhw/edit?usp=sharing"",""นครนายก!J97"")"),0)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IFERROR(__xludf.DUMMYFUNCTION("IMPORTRANGE(""https://docs.google.com/spreadsheets/d/1SX6NBoVAgQJ6U1MVXOaj8PK2l7WJ3RER9xtqwdhxkhw/edit?usp=sharing"",""นครนายก!I98"")"),3)</f>
        <v>3</v>
      </c>
      <c r="J173" s="190">
        <f ca="1">IFERROR(__xludf.DUMMYFUNCTION("IMPORTRANGE(""https://docs.google.com/spreadsheets/d/1SX6NBoVAgQJ6U1MVXOaj8PK2l7WJ3RER9xtqwdhxkhw/edit?usp=sharing"",""นครนายก!J98"")"),0)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IFERROR(__xludf.DUMMYFUNCTION("IMPORTRANGE(""https://docs.google.com/spreadsheets/d/1SX6NBoVAgQJ6U1MVXOaj8PK2l7WJ3RER9xtqwdhxkhw/edit?usp=sharing"",""นครนายก!J99"")"),0)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IFERROR(__xludf.DUMMYFUNCTION("IMPORTRANGE(""https://docs.google.com/spreadsheets/d/1SX6NBoVAgQJ6U1MVXOaj8PK2l7WJ3RER9xtqwdhxkhw/edit?usp=sharing"",""นครนายก!J100"")"),0)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IFERROR(__xludf.DUMMYFUNCTION("IMPORTRANGE(""https://docs.google.com/spreadsheets/d/1SX6NBoVAgQJ6U1MVXOaj8PK2l7WJ3RER9xtqwdhxkhw/edit?usp=sharing"",""นครนายก!I101"")"),0)</f>
        <v>0</v>
      </c>
      <c r="J176" s="284">
        <f ca="1">IFERROR(__xludf.DUMMYFUNCTION("IMPORTRANGE(""https://docs.google.com/spreadsheets/d/1SX6NBoVAgQJ6U1MVXOaj8PK2l7WJ3RER9xtqwdhxkhw/edit?usp=sharing"",""นครนายก!J101"")"),0)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IFERROR(__xludf.DUMMYFUNCTION("IMPORTRANGE(""https://docs.google.com/spreadsheets/d/1SX6NBoVAgQJ6U1MVXOaj8PK2l7WJ3RER9xtqwdhxkhw/edit?usp=sharing"",""นครนายก!I110"")"),0)</f>
        <v>0</v>
      </c>
      <c r="J185" s="205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IFERROR(__xludf.DUMMYFUNCTION("IMPORTRANGE(""https://docs.google.com/spreadsheets/d/1SX6NBoVAgQJ6U1MVXOaj8PK2l7WJ3RER9xtqwdhxkhw/edit?usp=sharing"",""นครนายก!I111"")"),0)</f>
        <v>0</v>
      </c>
      <c r="J186" s="205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IFERROR(__xludf.DUMMYFUNCTION("IMPORTRANGE(""https://docs.google.com/spreadsheets/d/1SX6NBoVAgQJ6U1MVXOaj8PK2l7WJ3RER9xtqwdhxkhw/edit?usp=sharing"",""นครนายก!I114"")"),30000)</f>
        <v>30000</v>
      </c>
      <c r="J189" s="284">
        <f ca="1">IFERROR(__xludf.DUMMYFUNCTION("IMPORTRANGE(""https://docs.google.com/spreadsheets/d/1SX6NBoVAgQJ6U1MVXOaj8PK2l7WJ3RER9xtqwdhxkhw/edit?usp=sharing"",""นครนายก!J114"")"),0)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IFERROR(__xludf.DUMMYFUNCTION("IMPORTRANGE(""https://docs.google.com/spreadsheets/d/1SX6NBoVAgQJ6U1MVXOaj8PK2l7WJ3RER9xtqwdhxkhw/edit?usp=sharing"",""นครนายก!J119"")"),1)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IFERROR(__xludf.DUMMYFUNCTION("IMPORTRANGE(""https://docs.google.com/spreadsheets/d/1SX6NBoVAgQJ6U1MVXOaj8PK2l7WJ3RER9xtqwdhxkhw/edit?usp=sharing"",""นครนายก!J120"")"),0)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IFERROR(__xludf.DUMMYFUNCTION("IMPORTRANGE(""https://docs.google.com/spreadsheets/d/1SX6NBoVAgQJ6U1MVXOaj8PK2l7WJ3RER9xtqwdhxkhw/edit?usp=sharing"",""นครนายก!J121"")"),0)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IFERROR(__xludf.DUMMYFUNCTION("IMPORTRANGE(""https://docs.google.com/spreadsheets/d/1SX6NBoVAgQJ6U1MVXOaj8PK2l7WJ3RER9xtqwdhxkhw/edit?usp=sharing"",""นครนายก!J122"")"),0)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IFERROR(__xludf.DUMMYFUNCTION("IMPORTRANGE(""https://docs.google.com/spreadsheets/d/1SX6NBoVAgQJ6U1MVXOaj8PK2l7WJ3RER9xtqwdhxkhw/edit?usp=sharing"",""นครนายก!I124"")"),30000)</f>
        <v>30000</v>
      </c>
      <c r="J199" s="190">
        <f ca="1">IFERROR(__xludf.DUMMYFUNCTION("IMPORTRANGE(""https://docs.google.com/spreadsheets/d/1SX6NBoVAgQJ6U1MVXOaj8PK2l7WJ3RER9xtqwdhxkhw/edit?usp=sharing"",""นครนายก!J124"")"),0)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IFERROR(__xludf.DUMMYFUNCTION("IMPORTRANGE(""https://docs.google.com/spreadsheets/d/1SX6NBoVAgQJ6U1MVXOaj8PK2l7WJ3RER9xtqwdhxkhw/edit?usp=sharing"",""นครนายก!I125"")"),30000)</f>
        <v>30000</v>
      </c>
      <c r="J200" s="190">
        <f ca="1">IFERROR(__xludf.DUMMYFUNCTION("IMPORTRANGE(""https://docs.google.com/spreadsheets/d/1SX6NBoVAgQJ6U1MVXOaj8PK2l7WJ3RER9xtqwdhxkhw/edit?usp=sharing"",""นครนายก!J125"")"),0)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IFERROR(__xludf.DUMMYFUNCTION("IMPORTRANGE(""https://docs.google.com/spreadsheets/d/1SX6NBoVAgQJ6U1MVXOaj8PK2l7WJ3RER9xtqwdhxkhw/edit?usp=sharing"",""นครนายก!I126"")"),0)</f>
        <v>0</v>
      </c>
      <c r="J201" s="190">
        <f ca="1">IFERROR(__xludf.DUMMYFUNCTION("IMPORTRANGE(""https://docs.google.com/spreadsheets/d/1SX6NBoVAgQJ6U1MVXOaj8PK2l7WJ3RER9xtqwdhxkhw/edit?usp=sharing"",""นครนายก!J126"")"),0)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IFERROR(__xludf.DUMMYFUNCTION("IMPORTRANGE(""https://docs.google.com/spreadsheets/d/1SX6NBoVAgQJ6U1MVXOaj8PK2l7WJ3RER9xtqwdhxkhw/edit?usp=sharing"",""นครนายก!J127"")"),0)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IFERROR(__xludf.DUMMYFUNCTION("IMPORTRANGE(""https://docs.google.com/spreadsheets/d/1SX6NBoVAgQJ6U1MVXOaj8PK2l7WJ3RER9xtqwdhxkhw/edit?usp=sharing"",""นครนายก!J128"")"),0)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IFERROR(__xludf.DUMMYFUNCTION("IMPORTRANGE(""https://docs.google.com/spreadsheets/d/1SX6NBoVAgQJ6U1MVXOaj8PK2l7WJ3RER9xtqwdhxkhw/edit?usp=sharing"",""นครนายก!I129"")"),20)</f>
        <v>20</v>
      </c>
      <c r="J204" s="284">
        <f ca="1">IFERROR(__xludf.DUMMYFUNCTION("IMPORTRANGE(""https://docs.google.com/spreadsheets/d/1SX6NBoVAgQJ6U1MVXOaj8PK2l7WJ3RER9xtqwdhxkhw/edit?usp=sharing"",""นครนายก!J129"")"),20)</f>
        <v>20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IFERROR(__xludf.DUMMYFUNCTION("IMPORTRANGE(""https://docs.google.com/spreadsheets/d/1SX6NBoVAgQJ6U1MVXOaj8PK2l7WJ3RER9xtqwdhxkhw/edit?usp=sharing"",""นครนายก!J135"")"),1)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IFERROR(__xludf.DUMMYFUNCTION("IMPORTRANGE(""https://docs.google.com/spreadsheets/d/1SX6NBoVAgQJ6U1MVXOaj8PK2l7WJ3RER9xtqwdhxkhw/edit?usp=sharing"",""นครนายก!J136"")"),0)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IFERROR(__xludf.DUMMYFUNCTION("IMPORTRANGE(""https://docs.google.com/spreadsheets/d/1SX6NBoVAgQJ6U1MVXOaj8PK2l7WJ3RER9xtqwdhxkhw/edit?usp=sharing"",""นครนายก!J137"")"),0)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IFERROR(__xludf.DUMMYFUNCTION("IMPORTRANGE(""https://docs.google.com/spreadsheets/d/1SX6NBoVAgQJ6U1MVXOaj8PK2l7WJ3RER9xtqwdhxkhw/edit?usp=sharing"",""นครนายก!I138"")"),20)</f>
        <v>20</v>
      </c>
      <c r="J213" s="205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IFERROR(__xludf.DUMMYFUNCTION("IMPORTRANGE(""https://docs.google.com/spreadsheets/d/1SX6NBoVAgQJ6U1MVXOaj8PK2l7WJ3RER9xtqwdhxkhw/edit?usp=sharing"",""นครนายก!I140"")"),0)</f>
        <v>0</v>
      </c>
      <c r="J215" s="205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IFERROR(__xludf.DUMMYFUNCTION("IMPORTRANGE(""https://docs.google.com/spreadsheets/d/1SX6NBoVAgQJ6U1MVXOaj8PK2l7WJ3RER9xtqwdhxkhw/edit?usp=sharing"",""นครนายก!I141"")"),1)</f>
        <v>1</v>
      </c>
      <c r="J216" s="205">
        <f ca="1">IFERROR(__xludf.DUMMYFUNCTION("IMPORTRANGE(""https://docs.google.com/spreadsheets/d/1SX6NBoVAgQJ6U1MVXOaj8PK2l7WJ3RER9xtqwdhxkhw/edit?usp=sharing"",""นครนายก!J141"")"),0)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0</v>
      </c>
      <c r="M224" s="169">
        <f ca="1">IFERROR(__xludf.DUMMYFUNCTION("IMPORTRANGE(""https://docs.google.com/spreadsheets/d/1Yj_ptqi66GCucihVvJfMjLAmec39IyEx_6qawtMGysU/edit?usp=sharing"",""สบก!BS65"")"),0)</f>
        <v>0</v>
      </c>
      <c r="N224" s="170">
        <f ca="1">IFERROR(__xludf.DUMMYFUNCTION("IMPORTRANGE(""https://docs.google.com/spreadsheets/d/1Yj_ptqi66GCucihVvJfMjLAmec39IyEx_6qawtMGysU/edit?usp=sharing"",""สบก!BT65"")"),0)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IFERROR(__xludf.DUMMYFUNCTION("IMPORTRANGE(""https://docs.google.com/spreadsheets/d/1Yj_ptqi66GCucihVvJfMjLAmec39IyEx_6qawtMGysU/edit?usp=sharing"",""สบก!BO65"")"),0)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IFERROR(__xludf.DUMMYFUNCTION("IMPORTRANGE(""https://docs.google.com/spreadsheets/d/1Yj_ptqi66GCucihVvJfMjLAmec39IyEx_6qawtMGysU/edit?usp=sharing"",""สบก!BP65"")"),0)</f>
        <v>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IFERROR(__xludf.DUMMYFUNCTION("IMPORTRANGE(""https://docs.google.com/spreadsheets/d/1SX6NBoVAgQJ6U1MVXOaj8PK2l7WJ3RER9xtqwdhxkhw/edit?usp=sharing"",""นครนายก!J151"")"),0)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IFERROR(__xludf.DUMMYFUNCTION("IMPORTRANGE(""https://docs.google.com/spreadsheets/d/1SX6NBoVAgQJ6U1MVXOaj8PK2l7WJ3RER9xtqwdhxkhw/edit?usp=sharing"",""นครนายก!J152"")"),0)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IFERROR(__xludf.DUMMYFUNCTION("IMPORTRANGE(""https://docs.google.com/spreadsheets/d/1SX6NBoVAgQJ6U1MVXOaj8PK2l7WJ3RER9xtqwdhxkhw/edit?usp=sharing"",""นครนายก!J153"")"),0)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IFERROR(__xludf.DUMMYFUNCTION("IMPORTRANGE(""https://docs.google.com/spreadsheets/d/1SX6NBoVAgQJ6U1MVXOaj8PK2l7WJ3RER9xtqwdhxkhw/edit?usp=sharing"",""นครนายก!J154"")"),0)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IFERROR(__xludf.DUMMYFUNCTION("IMPORTRANGE(""https://docs.google.com/spreadsheets/d/1SX6NBoVAgQJ6U1MVXOaj8PK2l7WJ3RER9xtqwdhxkhw/edit?usp=sharing"",""นครนายก!I155"")"),0)</f>
        <v>0</v>
      </c>
      <c r="J235" s="190">
        <f ca="1">IFERROR(__xludf.DUMMYFUNCTION("IMPORTRANGE(""https://docs.google.com/spreadsheets/d/1SX6NBoVAgQJ6U1MVXOaj8PK2l7WJ3RER9xtqwdhxkhw/edit?usp=sharing"",""นครนายก!J155"")"),0)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IFERROR(__xludf.DUMMYFUNCTION("IMPORTRANGE(""https://docs.google.com/spreadsheets/d/1SX6NBoVAgQJ6U1MVXOaj8PK2l7WJ3RER9xtqwdhxkhw/edit?usp=sharing"",""นครนายก!J156"")"),0)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IFERROR(__xludf.DUMMYFUNCTION("IMPORTRANGE(""https://docs.google.com/spreadsheets/d/1SX6NBoVAgQJ6U1MVXOaj8PK2l7WJ3RER9xtqwdhxkhw/edit?usp=sharing"",""นครนายก!J159"")"),"")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IFERROR(__xludf.DUMMYFUNCTION("IMPORTRANGE(""https://docs.google.com/spreadsheets/d/1SX6NBoVAgQJ6U1MVXOaj8PK2l7WJ3RER9xtqwdhxkhw/edit?usp=sharing"",""นครนายก!J161"")"),0)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IFERROR(__xludf.DUMMYFUNCTION("IMPORTRANGE(""https://docs.google.com/spreadsheets/d/1SX6NBoVAgQJ6U1MVXOaj8PK2l7WJ3RER9xtqwdhxkhw/edit?usp=sharing"",""นครนายก!J162"")"),0)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IFERROR(__xludf.DUMMYFUNCTION("IMPORTRANGE(""https://docs.google.com/spreadsheets/d/1SX6NBoVAgQJ6U1MVXOaj8PK2l7WJ3RER9xtqwdhxkhw/edit?usp=sharing"",""นครนายก!J163"")"),0)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IFERROR(__xludf.DUMMYFUNCTION("IMPORTRANGE(""https://docs.google.com/spreadsheets/d/1SX6NBoVAgQJ6U1MVXOaj8PK2l7WJ3RER9xtqwdhxkhw/edit?usp=sharing"",""นครนายก!I164"")"),0)</f>
        <v>0</v>
      </c>
      <c r="J244" s="189">
        <f ca="1">IFERROR(__xludf.DUMMYFUNCTION("IMPORTRANGE(""https://docs.google.com/spreadsheets/d/1SX6NBoVAgQJ6U1MVXOaj8PK2l7WJ3RER9xtqwdhxkhw/edit?usp=sharing"",""นครนายก!J164"")"),0)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IFERROR(__xludf.DUMMYFUNCTION("IMPORTRANGE(""https://docs.google.com/spreadsheets/d/1SX6NBoVAgQJ6U1MVXOaj8PK2l7WJ3RER9xtqwdhxkhw/edit?usp=sharing"",""นครนายก!J165"")"),0)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IFERROR(__xludf.DUMMYFUNCTION("IMPORTRANGE(""https://docs.google.com/spreadsheets/d/1SX6NBoVAgQJ6U1MVXOaj8PK2l7WJ3RER9xtqwdhxkhw/edit?usp=sharing"",""นครนายก!I169"")"),0)</f>
        <v>0</v>
      </c>
      <c r="J249" s="316">
        <f ca="1">IFERROR(__xludf.DUMMYFUNCTION("IMPORTRANGE(""https://docs.google.com/spreadsheets/d/1SX6NBoVAgQJ6U1MVXOaj8PK2l7WJ3RER9xtqwdhxkhw/edit?usp=sharing"",""นครนายก!J169"")"),0)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IFERROR(__xludf.DUMMYFUNCTION("IMPORTRANGE(""https://docs.google.com/spreadsheets/d/1Yj_ptqi66GCucihVvJfMjLAmec39IyEx_6qawtMGysU/edit?usp=sharing"",""สบก!CB65"")"),0)</f>
        <v>0</v>
      </c>
      <c r="N254" s="170">
        <f ca="1">IFERROR(__xludf.DUMMYFUNCTION("IMPORTRANGE(""https://docs.google.com/spreadsheets/d/1Yj_ptqi66GCucihVvJfMjLAmec39IyEx_6qawtMGysU/edit?usp=sharing"",""สบก!CC65"")"),0)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IFERROR(__xludf.DUMMYFUNCTION("IMPORTRANGE(""https://docs.google.com/spreadsheets/d/1Yj_ptqi66GCucihVvJfMjLAmec39IyEx_6qawtMGysU/edit?usp=sharing"",""สบก!BX65"")"),0)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IFERROR(__xludf.DUMMYFUNCTION("IMPORTRANGE(""https://docs.google.com/spreadsheets/d/1Yj_ptqi66GCucihVvJfMjLAmec39IyEx_6qawtMGysU/edit?usp=sharing"",""สบก!BY65"")"),0)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IFERROR(__xludf.DUMMYFUNCTION("IMPORTRANGE(""https://docs.google.com/spreadsheets/d/1SX6NBoVAgQJ6U1MVXOaj8PK2l7WJ3RER9xtqwdhxkhw/edit?usp=sharing"",""นครนายก!J175"")"),0)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IFERROR(__xludf.DUMMYFUNCTION("IMPORTRANGE(""https://docs.google.com/spreadsheets/d/1SX6NBoVAgQJ6U1MVXOaj8PK2l7WJ3RER9xtqwdhxkhw/edit?usp=sharing"",""นครนายก!J176"")"),0)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IFERROR(__xludf.DUMMYFUNCTION("IMPORTRANGE(""https://docs.google.com/spreadsheets/d/1SX6NBoVAgQJ6U1MVXOaj8PK2l7WJ3RER9xtqwdhxkhw/edit?usp=sharing"",""นครนายก!J177"")"),0)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IFERROR(__xludf.DUMMYFUNCTION("IMPORTRANGE(""https://docs.google.com/spreadsheets/d/1SX6NBoVAgQJ6U1MVXOaj8PK2l7WJ3RER9xtqwdhxkhw/edit?usp=sharing"",""นครนายก!J178"")"),0)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IFERROR(__xludf.DUMMYFUNCTION("IMPORTRANGE(""https://docs.google.com/spreadsheets/d/1SX6NBoVAgQJ6U1MVXOaj8PK2l7WJ3RER9xtqwdhxkhw/edit?usp=sharing"",""นครนายก!I179"")"),0)</f>
        <v>0</v>
      </c>
      <c r="J264" s="190">
        <f ca="1">IFERROR(__xludf.DUMMYFUNCTION("IMPORTRANGE(""https://docs.google.com/spreadsheets/d/1SX6NBoVAgQJ6U1MVXOaj8PK2l7WJ3RER9xtqwdhxkhw/edit?usp=sharing"",""นครนายก!J179"")"),0)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IFERROR(__xludf.DUMMYFUNCTION("IMPORTRANGE(""https://docs.google.com/spreadsheets/d/1SX6NBoVAgQJ6U1MVXOaj8PK2l7WJ3RER9xtqwdhxkhw/edit?usp=sharing"",""นครนายก!I180"")"),0)</f>
        <v>0</v>
      </c>
      <c r="J265" s="190">
        <f ca="1">IFERROR(__xludf.DUMMYFUNCTION("IMPORTRANGE(""https://docs.google.com/spreadsheets/d/1SX6NBoVAgQJ6U1MVXOaj8PK2l7WJ3RER9xtqwdhxkhw/edit?usp=sharing"",""นครนายก!J180"")"),0)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IFERROR(__xludf.DUMMYFUNCTION("IMPORTRANGE(""https://docs.google.com/spreadsheets/d/1SX6NBoVAgQJ6U1MVXOaj8PK2l7WJ3RER9xtqwdhxkhw/edit?usp=sharing"",""นครนายก!I181"")"),0)</f>
        <v>0</v>
      </c>
      <c r="J266" s="190">
        <f ca="1">IFERROR(__xludf.DUMMYFUNCTION("IMPORTRANGE(""https://docs.google.com/spreadsheets/d/1SX6NBoVAgQJ6U1MVXOaj8PK2l7WJ3RER9xtqwdhxkhw/edit?usp=sharing"",""นครนายก!J181"")"),0)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IFERROR(__xludf.DUMMYFUNCTION("IMPORTRANGE(""https://docs.google.com/spreadsheets/d/1SX6NBoVAgQJ6U1MVXOaj8PK2l7WJ3RER9xtqwdhxkhw/edit?usp=sharing"",""นครนายก!I182"")"),0)</f>
        <v>0</v>
      </c>
      <c r="J267" s="190">
        <f ca="1">IFERROR(__xludf.DUMMYFUNCTION("IMPORTRANGE(""https://docs.google.com/spreadsheets/d/1SX6NBoVAgQJ6U1MVXOaj8PK2l7WJ3RER9xtqwdhxkhw/edit?usp=sharing"",""นครนายก!J182"")"),0)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IFERROR(__xludf.DUMMYFUNCTION("IMPORTRANGE(""https://docs.google.com/spreadsheets/d/1SX6NBoVAgQJ6U1MVXOaj8PK2l7WJ3RER9xtqwdhxkhw/edit?usp=sharing"",""นครนายก!J183"")"),0)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IFERROR(__xludf.DUMMYFUNCTION("IMPORTRANGE(""https://docs.google.com/spreadsheets/d/1SX6NBoVAgQJ6U1MVXOaj8PK2l7WJ3RER9xtqwdhxkhw/edit?usp=sharing"",""นครนายก!J184"")"),0)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IFERROR(__xludf.DUMMYFUNCTION("IMPORTRANGE(""https://docs.google.com/spreadsheets/d/1SX6NBoVAgQJ6U1MVXOaj8PK2l7WJ3RER9xtqwdhxkhw/edit?usp=sharing"",""นครนายก!I185"")"),15)</f>
        <v>15</v>
      </c>
      <c r="J270" s="316">
        <f ca="1">IFERROR(__xludf.DUMMYFUNCTION("IMPORTRANGE(""https://docs.google.com/spreadsheets/d/1SX6NBoVAgQJ6U1MVXOaj8PK2l7WJ3RER9xtqwdhxkhw/edit?usp=sharing"",""นครนายก!J185"")"),15)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21510</v>
      </c>
      <c r="O271" s="151">
        <f t="shared" ref="O271:O273" ca="1" si="84">IF(L271&gt;0,N271*100/L271,0)</f>
        <v>38.967391304347828</v>
      </c>
      <c r="P271" s="151">
        <f t="shared" ref="P271:P273" ca="1" si="85">IF(M271&gt;0,N271*100/M271,0)</f>
        <v>66.697674418604649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21510</v>
      </c>
      <c r="O273" s="156">
        <f t="shared" ca="1" si="84"/>
        <v>38.967391304347828</v>
      </c>
      <c r="P273" s="156">
        <f t="shared" ca="1" si="85"/>
        <v>66.697674418604649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IFERROR(__xludf.DUMMYFUNCTION("IMPORTRANGE(""https://docs.google.com/spreadsheets/d/1Yj_ptqi66GCucihVvJfMjLAmec39IyEx_6qawtMGysU/edit?usp=sharing"",""สบก!CK65"")"),32250)</f>
        <v>32250</v>
      </c>
      <c r="N275" s="170">
        <f ca="1">IFERROR(__xludf.DUMMYFUNCTION("IMPORTRANGE(""https://docs.google.com/spreadsheets/d/1Yj_ptqi66GCucihVvJfMjLAmec39IyEx_6qawtMGysU/edit?usp=sharing"",""สบก!CL65"")"),21510)</f>
        <v>21510</v>
      </c>
      <c r="O275" s="170">
        <f ca="1">IF(L275&gt;0,N275*100/L275,0)</f>
        <v>38.967391304347828</v>
      </c>
      <c r="P275" s="170">
        <f ca="1">IF(M275&gt;0,N275*100/M275,0)</f>
        <v>66.697674418604649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IFERROR(__xludf.DUMMYFUNCTION("IMPORTRANGE(""https://docs.google.com/spreadsheets/d/1Yj_ptqi66GCucihVvJfMjLAmec39IyEx_6qawtMGysU/edit?usp=sharing"",""สบก!CG65"")"),0)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IFERROR(__xludf.DUMMYFUNCTION("IMPORTRANGE(""https://docs.google.com/spreadsheets/d/1Yj_ptqi66GCucihVvJfMjLAmec39IyEx_6qawtMGysU/edit?usp=sharing"",""สบก!CH65"")"),55200)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IFERROR(__xludf.DUMMYFUNCTION("IMPORTRANGE(""https://docs.google.com/spreadsheets/d/1SX6NBoVAgQJ6U1MVXOaj8PK2l7WJ3RER9xtqwdhxkhw/edit?usp=sharing"",""นครนายก!J191"")"),0)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IFERROR(__xludf.DUMMYFUNCTION("IMPORTRANGE(""https://docs.google.com/spreadsheets/d/1SX6NBoVAgQJ6U1MVXOaj8PK2l7WJ3RER9xtqwdhxkhw/edit?usp=sharing"",""นครนายก!J192"")"),1)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IFERROR(__xludf.DUMMYFUNCTION("IMPORTRANGE(""https://docs.google.com/spreadsheets/d/1SX6NBoVAgQJ6U1MVXOaj8PK2l7WJ3RER9xtqwdhxkhw/edit?usp=sharing"",""นครนายก!J193"")"),0)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IFERROR(__xludf.DUMMYFUNCTION("IMPORTRANGE(""https://docs.google.com/spreadsheets/d/1SX6NBoVAgQJ6U1MVXOaj8PK2l7WJ3RER9xtqwdhxkhw/edit?usp=sharing"",""นครนายก!J194"")"),0)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IFERROR(__xludf.DUMMYFUNCTION("IMPORTRANGE(""https://docs.google.com/spreadsheets/d/1SX6NBoVAgQJ6U1MVXOaj8PK2l7WJ3RER9xtqwdhxkhw/edit?usp=sharing"",""นครนายก!I195"")"),15)</f>
        <v>15</v>
      </c>
      <c r="J285" s="190">
        <f ca="1">IFERROR(__xludf.DUMMYFUNCTION("IMPORTRANGE(""https://docs.google.com/spreadsheets/d/1SX6NBoVAgQJ6U1MVXOaj8PK2l7WJ3RER9xtqwdhxkhw/edit?usp=sharing"",""นครนายก!J195"")"),15)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IFERROR(__xludf.DUMMYFUNCTION("IMPORTRANGE(""https://docs.google.com/spreadsheets/d/1SX6NBoVAgQJ6U1MVXOaj8PK2l7WJ3RER9xtqwdhxkhw/edit?usp=sharing"",""นครนายก!J196"")"),0)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IFERROR(__xludf.DUMMYFUNCTION("IMPORTRANGE(""https://docs.google.com/spreadsheets/d/1SX6NBoVAgQJ6U1MVXOaj8PK2l7WJ3RER9xtqwdhxkhw/edit?usp=sharing"",""นครนายก!J197"")"),0)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IFERROR(__xludf.DUMMYFUNCTION("IMPORTRANGE(""https://docs.google.com/spreadsheets/d/1SX6NBoVAgQJ6U1MVXOaj8PK2l7WJ3RER9xtqwdhxkhw/edit?usp=sharing"",""นครนายก!I199"")"),0)</f>
        <v>0</v>
      </c>
      <c r="J289" s="316">
        <f ca="1">IFERROR(__xludf.DUMMYFUNCTION("IMPORTRANGE(""https://docs.google.com/spreadsheets/d/1SX6NBoVAgQJ6U1MVXOaj8PK2l7WJ3RER9xtqwdhxkhw/edit?usp=sharing"",""นครนายก!J199"")"),0)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IFERROR(__xludf.DUMMYFUNCTION("IMPORTRANGE(""https://docs.google.com/spreadsheets/d/1Yj_ptqi66GCucihVvJfMjLAmec39IyEx_6qawtMGysU/edit?usp=sharing"",""สบก!CT65"")"),0)</f>
        <v>0</v>
      </c>
      <c r="N294" s="170">
        <f ca="1">IFERROR(__xludf.DUMMYFUNCTION("IMPORTRANGE(""https://docs.google.com/spreadsheets/d/1Yj_ptqi66GCucihVvJfMjLAmec39IyEx_6qawtMGysU/edit?usp=sharing"",""สบก!CU65"")"),0)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IFERROR(__xludf.DUMMYFUNCTION("IMPORTRANGE(""https://docs.google.com/spreadsheets/d/1Yj_ptqi66GCucihVvJfMjLAmec39IyEx_6qawtMGysU/edit?usp=sharing"",""สบก!CP65"")"),0)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IFERROR(__xludf.DUMMYFUNCTION("IMPORTRANGE(""https://docs.google.com/spreadsheets/d/1Yj_ptqi66GCucihVvJfMjLAmec39IyEx_6qawtMGysU/edit?usp=sharing"",""สบก!CQ65"")"),0)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IFERROR(__xludf.DUMMYFUNCTION("IMPORTRANGE(""https://docs.google.com/spreadsheets/d/1SX6NBoVAgQJ6U1MVXOaj8PK2l7WJ3RER9xtqwdhxkhw/edit?usp=sharing"",""นครนายก!I209"")"),0)</f>
        <v>0</v>
      </c>
      <c r="J304" s="205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IFERROR(__xludf.DUMMYFUNCTION("IMPORTRANGE(""https://docs.google.com/spreadsheets/d/1SX6NBoVAgQJ6U1MVXOaj8PK2l7WJ3RER9xtqwdhxkhw/edit?usp=sharing"",""นครนายก!I211"")"),0)</f>
        <v>0</v>
      </c>
      <c r="J306" s="205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IFERROR(__xludf.DUMMYFUNCTION("IMPORTRANGE(""https://docs.google.com/spreadsheets/d/1SX6NBoVAgQJ6U1MVXOaj8PK2l7WJ3RER9xtqwdhxkhw/edit?usp=sharing"",""นครนายก!I214"")"),0)</f>
        <v>0</v>
      </c>
      <c r="J309" s="333">
        <f ca="1">IFERROR(__xludf.DUMMYFUNCTION("IMPORTRANGE(""https://docs.google.com/spreadsheets/d/1SX6NBoVAgQJ6U1MVXOaj8PK2l7WJ3RER9xtqwdhxkhw/edit?usp=sharing"",""นครนายก!J214"")"),0)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IFERROR(__xludf.DUMMYFUNCTION("IMPORTRANGE(""https://docs.google.com/spreadsheets/d/1Yj_ptqi66GCucihVvJfMjLAmec39IyEx_6qawtMGysU/edit?usp=sharing"",""สบก!DC65"")"),0)</f>
        <v>0</v>
      </c>
      <c r="N314" s="170">
        <f ca="1">IFERROR(__xludf.DUMMYFUNCTION("IMPORTRANGE(""https://docs.google.com/spreadsheets/d/1Yj_ptqi66GCucihVvJfMjLAmec39IyEx_6qawtMGysU/edit?usp=sharing"",""สบก!DD65"")"),0)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IFERROR(__xludf.DUMMYFUNCTION("IMPORTRANGE(""https://docs.google.com/spreadsheets/d/1Yj_ptqi66GCucihVvJfMjLAmec39IyEx_6qawtMGysU/edit?usp=sharing"",""สบก!CY65"")"),0)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IFERROR(__xludf.DUMMYFUNCTION("IMPORTRANGE(""https://docs.google.com/spreadsheets/d/1Yj_ptqi66GCucihVvJfMjLAmec39IyEx_6qawtMGysU/edit?usp=sharing"",""สบก!CZ65"")"),0)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IFERROR(__xludf.DUMMYFUNCTION("IMPORTRANGE(""https://docs.google.com/spreadsheets/d/1SX6NBoVAgQJ6U1MVXOaj8PK2l7WJ3RER9xtqwdhxkhw/edit?usp=sharing"",""นครนายก!I224"")"),0)</f>
        <v>0</v>
      </c>
      <c r="J324" s="205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IFERROR(__xludf.DUMMYFUNCTION("IMPORTRANGE(""https://docs.google.com/spreadsheets/d/1SX6NBoVAgQJ6U1MVXOaj8PK2l7WJ3RER9xtqwdhxkhw/edit?usp=sharing"",""นครนายก!I228"")"),0)</f>
        <v>0</v>
      </c>
      <c r="J328" s="339">
        <f ca="1">IFERROR(__xludf.DUMMYFUNCTION("IMPORTRANGE(""https://docs.google.com/spreadsheets/d/1SX6NBoVAgQJ6U1MVXOaj8PK2l7WJ3RER9xtqwdhxkhw/edit?usp=sharing"",""นครนายก!J228"")"),0)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749180</v>
      </c>
      <c r="M329" s="152">
        <f t="shared" ca="1" si="98"/>
        <v>393490</v>
      </c>
      <c r="N329" s="152">
        <f t="shared" ca="1" si="98"/>
        <v>295726</v>
      </c>
      <c r="O329" s="151">
        <f t="shared" ref="O329:O331" ca="1" si="99">IF(L329&gt;0,N329*100/L329,0)</f>
        <v>39.473290797939079</v>
      </c>
      <c r="P329" s="151">
        <f t="shared" ref="P329:P331" ca="1" si="100">IF(M329&gt;0,N329*100/M329,0)</f>
        <v>75.154641795217159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749180</v>
      </c>
      <c r="M331" s="157">
        <f t="shared" ca="1" si="102"/>
        <v>393490</v>
      </c>
      <c r="N331" s="157">
        <f t="shared" ca="1" si="102"/>
        <v>295726</v>
      </c>
      <c r="O331" s="156">
        <f t="shared" ca="1" si="99"/>
        <v>39.473290797939079</v>
      </c>
      <c r="P331" s="156">
        <f t="shared" ca="1" si="100"/>
        <v>75.154641795217159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711380</v>
      </c>
      <c r="M333" s="169">
        <f ca="1">IFERROR(__xludf.DUMMYFUNCTION("IMPORTRANGE(""https://docs.google.com/spreadsheets/d/1Yj_ptqi66GCucihVvJfMjLAmec39IyEx_6qawtMGysU/edit?usp=sharing"",""สบก!DL65"")"),355690)</f>
        <v>355690</v>
      </c>
      <c r="N333" s="170">
        <f ca="1">IFERROR(__xludf.DUMMYFUNCTION("IMPORTRANGE(""https://docs.google.com/spreadsheets/d/1Yj_ptqi66GCucihVvJfMjLAmec39IyEx_6qawtMGysU/edit?usp=sharing"",""สบก!DM65"")"),257926)</f>
        <v>257926</v>
      </c>
      <c r="O333" s="170">
        <f ca="1">IF(L333&gt;0,N333*100/L333,0)</f>
        <v>36.257134021198233</v>
      </c>
      <c r="P333" s="170">
        <f ca="1">IF(M333&gt;0,N333*100/M333,0)</f>
        <v>72.514268042396466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IFERROR(__xludf.DUMMYFUNCTION("IMPORTRANGE(""https://docs.google.com/spreadsheets/d/1Yj_ptqi66GCucihVvJfMjLAmec39IyEx_6qawtMGysU/edit?usp=sharing"",""สบก!DH65"")"),529200)</f>
        <v>529200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IFERROR(__xludf.DUMMYFUNCTION("IMPORTRANGE(""https://docs.google.com/spreadsheets/d/1Yj_ptqi66GCucihVvJfMjLAmec39IyEx_6qawtMGysU/edit?usp=sharing"",""สบก!DI65"")"),182180)</f>
        <v>182180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IFERROR(__xludf.DUMMYFUNCTION("IMPORTRANGE(""https://docs.google.com/spreadsheets/d/1SX6NBoVAgQJ6U1MVXOaj8PK2l7WJ3RER9xtqwdhxkhw/edit?usp=sharing"",""นครนายก!I234"")"),0)</f>
        <v>0</v>
      </c>
      <c r="J339" s="189">
        <f ca="1">IFERROR(__xludf.DUMMYFUNCTION("IMPORTRANGE(""https://docs.google.com/spreadsheets/d/1SX6NBoVAgQJ6U1MVXOaj8PK2l7WJ3RER9xtqwdhxkhw/edit?usp=sharing"",""นครนายก!J234"")"),0)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IFERROR(__xludf.DUMMYFUNCTION("IMPORTRANGE(""https://docs.google.com/spreadsheets/d/1SX6NBoVAgQJ6U1MVXOaj8PK2l7WJ3RER9xtqwdhxkhw/edit?usp=sharing"",""นครนายก!I235"")"),0)</f>
        <v>0</v>
      </c>
      <c r="J340" s="189">
        <f ca="1">IFERROR(__xludf.DUMMYFUNCTION("IMPORTRANGE(""https://docs.google.com/spreadsheets/d/1SX6NBoVAgQJ6U1MVXOaj8PK2l7WJ3RER9xtqwdhxkhw/edit?usp=sharing"",""นครนายก!J235"")"),0)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IFERROR(__xludf.DUMMYFUNCTION("IMPORTRANGE(""https://docs.google.com/spreadsheets/d/1SX6NBoVAgQJ6U1MVXOaj8PK2l7WJ3RER9xtqwdhxkhw/edit?usp=sharing"",""นครนายก!I236"")"),0)</f>
        <v>0</v>
      </c>
      <c r="J341" s="189">
        <f ca="1">IFERROR(__xludf.DUMMYFUNCTION("IMPORTRANGE(""https://docs.google.com/spreadsheets/d/1SX6NBoVAgQJ6U1MVXOaj8PK2l7WJ3RER9xtqwdhxkhw/edit?usp=sharing"",""นครนายก!J236"")"),0)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9">
        <f ca="1">IFERROR(__xludf.DUMMYFUNCTION("IMPORTRANGE(""https://docs.google.com/spreadsheets/d/1SX6NBoVAgQJ6U1MVXOaj8PK2l7WJ3RER9xtqwdhxkhw/edit?usp=sharing"",""นครนายก!J237"")"),0)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IFERROR(__xludf.DUMMYFUNCTION("IMPORTRANGE(""https://docs.google.com/spreadsheets/d/1SX6NBoVAgQJ6U1MVXOaj8PK2l7WJ3RER9xtqwdhxkhw/edit?usp=sharing"",""นครนายก!I238"")"),0)</f>
        <v>0</v>
      </c>
      <c r="J343" s="189">
        <f ca="1">IFERROR(__xludf.DUMMYFUNCTION("IMPORTRANGE(""https://docs.google.com/spreadsheets/d/1SX6NBoVAgQJ6U1MVXOaj8PK2l7WJ3RER9xtqwdhxkhw/edit?usp=sharing"",""นครนายก!J238"")"),0)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9">
        <f ca="1">IFERROR(__xludf.DUMMYFUNCTION("IMPORTRANGE(""https://docs.google.com/spreadsheets/d/1SX6NBoVAgQJ6U1MVXOaj8PK2l7WJ3RER9xtqwdhxkhw/edit?usp=sharing"",""นครนายก!J239"")"),0)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IFERROR(__xludf.DUMMYFUNCTION("IMPORTRANGE(""https://docs.google.com/spreadsheets/d/1SX6NBoVAgQJ6U1MVXOaj8PK2l7WJ3RER9xtqwdhxkhw/edit?usp=sharing"",""นครนายก!I240"")"),0)</f>
        <v>0</v>
      </c>
      <c r="J345" s="189">
        <f ca="1">IFERROR(__xludf.DUMMYFUNCTION("IMPORTRANGE(""https://docs.google.com/spreadsheets/d/1SX6NBoVAgQJ6U1MVXOaj8PK2l7WJ3RER9xtqwdhxkhw/edit?usp=sharing"",""นครนายก!J240"")"),0)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9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IFERROR(__xludf.DUMMYFUNCTION("IMPORTRANGE(""https://docs.google.com/spreadsheets/d/1SX6NBoVAgQJ6U1MVXOaj8PK2l7WJ3RER9xtqwdhxkhw/edit?usp=sharing"",""นครนายก!L242"")"),786810)</f>
        <v>786810</v>
      </c>
      <c r="M347" s="358"/>
      <c r="N347" s="358">
        <f ca="1">IFERROR(__xludf.DUMMYFUNCTION("IMPORTRANGE(""https://docs.google.com/spreadsheets/d/1SX6NBoVAgQJ6U1MVXOaj8PK2l7WJ3RER9xtqwdhxkhw/edit?usp=sharing"",""นครนายก!M242"")"),182560)</f>
        <v>182560</v>
      </c>
      <c r="O347" s="358">
        <f ca="1">+IF(L347&gt;0,N347*100/L347,0)</f>
        <v>23.202552077375731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IFERROR(__xludf.DUMMYFUNCTION("IMPORTRANGE(""https://docs.google.com/spreadsheets/d/1SX6NBoVAgQJ6U1MVXOaj8PK2l7WJ3RER9xtqwdhxkhw/edit?usp=sharing"",""นครนายก!M244"")"),14130)</f>
        <v>14130</v>
      </c>
      <c r="O349" s="373">
        <f ca="1">+IF(L349&gt;0,N349*100/L349,0)</f>
        <v>17.904206791687784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IFERROR(__xludf.DUMMYFUNCTION("IMPORTRANGE(""https://docs.google.com/spreadsheets/d/1SX6NBoVAgQJ6U1MVXOaj8PK2l7WJ3RER9xtqwdhxkhw/edit?usp=sharing"",""นครนายก!L246"")"),0)</f>
        <v>0</v>
      </c>
      <c r="M351" s="166"/>
      <c r="N351" s="166">
        <f ca="1">IFERROR(__xludf.DUMMYFUNCTION("IMPORTRANGE(""https://docs.google.com/spreadsheets/d/1SX6NBoVAgQJ6U1MVXOaj8PK2l7WJ3RER9xtqwdhxkhw/edit?usp=sharing"",""นครนายก!M246"")"),0)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IFERROR(__xludf.DUMMYFUNCTION("IMPORTRANGE(""https://docs.google.com/spreadsheets/d/1SX6NBoVAgQJ6U1MVXOaj8PK2l7WJ3RER9xtqwdhxkhw/edit?usp=sharing"",""นครนายก!L247"")"),78920)</f>
        <v>78920</v>
      </c>
      <c r="M352" s="167"/>
      <c r="N352" s="166">
        <f ca="1">IFERROR(__xludf.DUMMYFUNCTION("IMPORTRANGE(""https://docs.google.com/spreadsheets/d/1SX6NBoVAgQJ6U1MVXOaj8PK2l7WJ3RER9xtqwdhxkhw/edit?usp=sharing"",""นครนายก!M247"")"),14130)</f>
        <v>14130</v>
      </c>
      <c r="O352" s="167">
        <f t="shared" ca="1" si="105"/>
        <v>17.904206791687784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IFERROR(__xludf.DUMMYFUNCTION("IMPORTRANGE(""https://docs.google.com/spreadsheets/d/1SX6NBoVAgQJ6U1MVXOaj8PK2l7WJ3RER9xtqwdhxkhw/edit?usp=sharing"",""นครนายก!L248"")"),0)</f>
        <v>0</v>
      </c>
      <c r="M353" s="170"/>
      <c r="N353" s="170">
        <f ca="1">IFERROR(__xludf.DUMMYFUNCTION("IMPORTRANGE(""https://docs.google.com/spreadsheets/d/1SX6NBoVAgQJ6U1MVXOaj8PK2l7WJ3RER9xtqwdhxkhw/edit?usp=sharing"",""นครนายก!M248"")"),0)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IFERROR(__xludf.DUMMYFUNCTION("IMPORTRANGE(""https://docs.google.com/spreadsheets/d/1SX6NBoVAgQJ6U1MVXOaj8PK2l7WJ3RER9xtqwdhxkhw/edit?usp=sharing"",""นครนายก!L249"")"),78920)</f>
        <v>78920</v>
      </c>
      <c r="M354" s="170"/>
      <c r="N354" s="169">
        <f ca="1">IFERROR(__xludf.DUMMYFUNCTION("IMPORTRANGE(""https://docs.google.com/spreadsheets/d/1SX6NBoVAgQJ6U1MVXOaj8PK2l7WJ3RER9xtqwdhxkhw/edit?usp=sharing"",""นครนายก!M249"")"),14130)</f>
        <v>14130</v>
      </c>
      <c r="O354" s="170">
        <f t="shared" ca="1" si="105"/>
        <v>17.904206791687784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IFERROR(__xludf.DUMMYFUNCTION("IMPORTRANGE(""https://docs.google.com/spreadsheets/d/1SX6NBoVAgQJ6U1MVXOaj8PK2l7WJ3RER9xtqwdhxkhw/edit?usp=sharing"",""นครนายก!M250"")"),14130)</f>
        <v>14130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IFERROR(__xludf.DUMMYFUNCTION("IMPORTRANGE(""https://docs.google.com/spreadsheets/d/1SX6NBoVAgQJ6U1MVXOaj8PK2l7WJ3RER9xtqwdhxkhw/edit?usp=sharing"",""นครนายก!M251"")"),0)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IFERROR(__xludf.DUMMYFUNCTION("IMPORTRANGE(""https://docs.google.com/spreadsheets/d/1SX6NBoVAgQJ6U1MVXOaj8PK2l7WJ3RER9xtqwdhxkhw/edit?usp=sharing"",""นครนายก!M253"")"),0)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IFERROR(__xludf.DUMMYFUNCTION("IMPORTRANGE(""https://docs.google.com/spreadsheets/d/1SX6NBoVAgQJ6U1MVXOaj8PK2l7WJ3RER9xtqwdhxkhw/edit?usp=sharing"",""นครนายก!J255"")"),0)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IFERROR(__xludf.DUMMYFUNCTION("IMPORTRANGE(""https://docs.google.com/spreadsheets/d/1SX6NBoVAgQJ6U1MVXOaj8PK2l7WJ3RER9xtqwdhxkhw/edit?usp=sharing"",""นครนายก!J256"")"),1)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IFERROR(__xludf.DUMMYFUNCTION("IMPORTRANGE(""https://docs.google.com/spreadsheets/d/1SX6NBoVAgQJ6U1MVXOaj8PK2l7WJ3RER9xtqwdhxkhw/edit?usp=sharing"",""นครนายก!J257"")"),0)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IFERROR(__xludf.DUMMYFUNCTION("IMPORTRANGE(""https://docs.google.com/spreadsheets/d/1SX6NBoVAgQJ6U1MVXOaj8PK2l7WJ3RER9xtqwdhxkhw/edit?usp=sharing"",""นครนายก!J258"")"),0)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IFERROR(__xludf.DUMMYFUNCTION("IMPORTRANGE(""https://docs.google.com/spreadsheets/d/1SX6NBoVAgQJ6U1MVXOaj8PK2l7WJ3RER9xtqwdhxkhw/edit?usp=sharing"",""นครนายก!J166"")"),0)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IFERROR(__xludf.DUMMYFUNCTION("IMPORTRANGE(""https://docs.google.com/spreadsheets/d/1SX6NBoVAgQJ6U1MVXOaj8PK2l7WJ3RER9xtqwdhxkhw/edit?usp=sharing"",""นครนายก!J166"")"),0)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IFERROR(__xludf.DUMMYFUNCTION("IMPORTRANGE(""https://docs.google.com/spreadsheets/d/1SX6NBoVAgQJ6U1MVXOaj8PK2l7WJ3RER9xtqwdhxkhw/edit?usp=sharing"",""นครนายก!J166"")"),0)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IFERROR(__xludf.DUMMYFUNCTION("IMPORTRANGE(""https://docs.google.com/spreadsheets/d/1SX6NBoVAgQJ6U1MVXOaj8PK2l7WJ3RER9xtqwdhxkhw/edit?usp=sharing"",""นครนายก!J166"")"),0)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IFERROR(__xludf.DUMMYFUNCTION("IMPORTRANGE(""https://docs.google.com/spreadsheets/d/1SX6NBoVAgQJ6U1MVXOaj8PK2l7WJ3RER9xtqwdhxkhw/edit?usp=sharing"",""นครนายก!I263"")"),15)</f>
        <v>15</v>
      </c>
      <c r="J368" s="189">
        <f ca="1">IFERROR(__xludf.DUMMYFUNCTION("IMPORTRANGE(""https://docs.google.com/spreadsheets/d/1SX6NBoVAgQJ6U1MVXOaj8PK2l7WJ3RER9xtqwdhxkhw/edit?usp=sharing"",""นครนายก!J263"")"),0)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IFERROR(__xludf.DUMMYFUNCTION("IMPORTRANGE(""https://docs.google.com/spreadsheets/d/1SX6NBoVAgQJ6U1MVXOaj8PK2l7WJ3RER9xtqwdhxkhw/edit?usp=sharing"",""นครนายก!I164"")"),0)</f>
        <v>0</v>
      </c>
      <c r="J369" s="205">
        <f ca="1">IFERROR(__xludf.DUMMYFUNCTION("IMPORTRANGE(""https://docs.google.com/spreadsheets/d/1SX6NBoVAgQJ6U1MVXOaj8PK2l7WJ3RER9xtqwdhxkhw/edit?usp=sharing"",""นครนายก!J164"")"),0)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IFERROR(__xludf.DUMMYFUNCTION("IMPORTRANGE(""https://docs.google.com/spreadsheets/d/1SX6NBoVAgQJ6U1MVXOaj8PK2l7WJ3RER9xtqwdhxkhw/edit?usp=sharing"",""นครนายก!I265"")"),15)</f>
        <v>15</v>
      </c>
      <c r="J370" s="205">
        <f ca="1">IFERROR(__xludf.DUMMYFUNCTION("IMPORTRANGE(""https://docs.google.com/spreadsheets/d/1SX6NBoVAgQJ6U1MVXOaj8PK2l7WJ3RER9xtqwdhxkhw/edit?usp=sharing"",""นครนายก!J265"")"),5)</f>
        <v>5</v>
      </c>
      <c r="K370" s="165">
        <f t="shared" ca="1" si="106"/>
        <v>33.333333333333336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IFERROR(__xludf.DUMMYFUNCTION("IMPORTRANGE(""https://docs.google.com/spreadsheets/d/1SX6NBoVAgQJ6U1MVXOaj8PK2l7WJ3RER9xtqwdhxkhw/edit?usp=sharing"",""นครนายก!I164"")"),0)</f>
        <v>0</v>
      </c>
      <c r="J371" s="190">
        <f ca="1">IFERROR(__xludf.DUMMYFUNCTION("IMPORTRANGE(""https://docs.google.com/spreadsheets/d/1SX6NBoVAgQJ6U1MVXOaj8PK2l7WJ3RER9xtqwdhxkhw/edit?usp=sharing"",""นครนายก!J164"")"),0)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IFERROR(__xludf.DUMMYFUNCTION("IMPORTRANGE(""https://docs.google.com/spreadsheets/d/1SX6NBoVAgQJ6U1MVXOaj8PK2l7WJ3RER9xtqwdhxkhw/edit?usp=sharing"",""นครนายก!I267"")"),15)</f>
        <v>15</v>
      </c>
      <c r="J372" s="190">
        <f ca="1">IFERROR(__xludf.DUMMYFUNCTION("IMPORTRANGE(""https://docs.google.com/spreadsheets/d/1SX6NBoVAgQJ6U1MVXOaj8PK2l7WJ3RER9xtqwdhxkhw/edit?usp=sharing"",""นครนายก!J267"")"),0)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IFERROR(__xludf.DUMMYFUNCTION("IMPORTRANGE(""https://docs.google.com/spreadsheets/d/1SX6NBoVAgQJ6U1MVXOaj8PK2l7WJ3RER9xtqwdhxkhw/edit?usp=sharing"",""นครนายก!I164"")"),0)</f>
        <v>0</v>
      </c>
      <c r="J373" s="205">
        <f ca="1">IFERROR(__xludf.DUMMYFUNCTION("IMPORTRANGE(""https://docs.google.com/spreadsheets/d/1SX6NBoVAgQJ6U1MVXOaj8PK2l7WJ3RER9xtqwdhxkhw/edit?usp=sharing"",""นครนายก!J164"")"),0)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IFERROR(__xludf.DUMMYFUNCTION("IMPORTRANGE(""https://docs.google.com/spreadsheets/d/1SX6NBoVAgQJ6U1MVXOaj8PK2l7WJ3RER9xtqwdhxkhw/edit?usp=sharing"",""นครนายก!I164"")"),0)</f>
        <v>0</v>
      </c>
      <c r="J374" s="189">
        <f ca="1">IFERROR(__xludf.DUMMYFUNCTION("IMPORTRANGE(""https://docs.google.com/spreadsheets/d/1SX6NBoVAgQJ6U1MVXOaj8PK2l7WJ3RER9xtqwdhxkhw/edit?usp=sharing"",""นครนายก!J164"")"),0)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IFERROR(__xludf.DUMMYFUNCTION("IMPORTRANGE(""https://docs.google.com/spreadsheets/d/1SX6NBoVAgQJ6U1MVXOaj8PK2l7WJ3RER9xtqwdhxkhw/edit?usp=sharing"",""นครนายก!I270"")"),25)</f>
        <v>25</v>
      </c>
      <c r="J375" s="189">
        <f ca="1">IFERROR(__xludf.DUMMYFUNCTION("IMPORTRANGE(""https://docs.google.com/spreadsheets/d/1SX6NBoVAgQJ6U1MVXOaj8PK2l7WJ3RER9xtqwdhxkhw/edit?usp=sharing"",""นครนายก!J270"")"),0)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IFERROR(__xludf.DUMMYFUNCTION("IMPORTRANGE(""https://docs.google.com/spreadsheets/d/1SX6NBoVAgQJ6U1MVXOaj8PK2l7WJ3RER9xtqwdhxkhw/edit?usp=sharing"",""นครนายก!I271"")"),20)</f>
        <v>20</v>
      </c>
      <c r="J376" s="190">
        <f ca="1">IFERROR(__xludf.DUMMYFUNCTION("IMPORTRANGE(""https://docs.google.com/spreadsheets/d/1SX6NBoVAgQJ6U1MVXOaj8PK2l7WJ3RER9xtqwdhxkhw/edit?usp=sharing"",""นครนายก!J271"")"),0)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IFERROR(__xludf.DUMMYFUNCTION("IMPORTRANGE(""https://docs.google.com/spreadsheets/d/1SX6NBoVAgQJ6U1MVXOaj8PK2l7WJ3RER9xtqwdhxkhw/edit?usp=sharing"",""นครนายก!I272"")"),5)</f>
        <v>5</v>
      </c>
      <c r="J377" s="205">
        <f ca="1">IFERROR(__xludf.DUMMYFUNCTION("IMPORTRANGE(""https://docs.google.com/spreadsheets/d/1SX6NBoVAgQJ6U1MVXOaj8PK2l7WJ3RER9xtqwdhxkhw/edit?usp=sharing"",""นครนายก!J272"")"),0)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IFERROR(__xludf.DUMMYFUNCTION("IMPORTRANGE(""https://docs.google.com/spreadsheets/d/1SX6NBoVAgQJ6U1MVXOaj8PK2l7WJ3RER9xtqwdhxkhw/edit?usp=sharing"",""นครนายก!J273"")"),0)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IFERROR(__xludf.DUMMYFUNCTION("IMPORTRANGE(""https://docs.google.com/spreadsheets/d/1SX6NBoVAgQJ6U1MVXOaj8PK2l7WJ3RER9xtqwdhxkhw/edit?usp=sharing"",""นครนายก!J274"")"),0)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IFERROR(__xludf.DUMMYFUNCTION("IMPORTRANGE(""https://docs.google.com/spreadsheets/d/1SX6NBoVAgQJ6U1MVXOaj8PK2l7WJ3RER9xtqwdhxkhw/edit?usp=sharing"",""นครนายก!M275"")"),6450)</f>
        <v>6450</v>
      </c>
      <c r="O380" s="373">
        <f ca="1">+IF(L380&gt;0,N380*100/L380,0)</f>
        <v>7.3537795006270663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IFERROR(__xludf.DUMMYFUNCTION("IMPORTRANGE(""https://docs.google.com/spreadsheets/d/1SX6NBoVAgQJ6U1MVXOaj8PK2l7WJ3RER9xtqwdhxkhw/edit?usp=sharing"",""นครนายก!L277"")"),0)</f>
        <v>0</v>
      </c>
      <c r="M382" s="166"/>
      <c r="N382" s="166">
        <f ca="1">IFERROR(__xludf.DUMMYFUNCTION("IMPORTRANGE(""https://docs.google.com/spreadsheets/d/1SX6NBoVAgQJ6U1MVXOaj8PK2l7WJ3RER9xtqwdhxkhw/edit?usp=sharing"",""นครนายก!M277"")"),0)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IFERROR(__xludf.DUMMYFUNCTION("IMPORTRANGE(""https://docs.google.com/spreadsheets/d/1SX6NBoVAgQJ6U1MVXOaj8PK2l7WJ3RER9xtqwdhxkhw/edit?usp=sharing"",""นครนายก!L278"")"),87710)</f>
        <v>87710</v>
      </c>
      <c r="M383" s="167"/>
      <c r="N383" s="167">
        <f ca="1">IFERROR(__xludf.DUMMYFUNCTION("IMPORTRANGE(""https://docs.google.com/spreadsheets/d/1SX6NBoVAgQJ6U1MVXOaj8PK2l7WJ3RER9xtqwdhxkhw/edit?usp=sharing"",""นครนายก!M278"")"),6450)</f>
        <v>6450</v>
      </c>
      <c r="O383" s="167">
        <f t="shared" ca="1" si="109"/>
        <v>7.3537795006270663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IFERROR(__xludf.DUMMYFUNCTION("IMPORTRANGE(""https://docs.google.com/spreadsheets/d/1SX6NBoVAgQJ6U1MVXOaj8PK2l7WJ3RER9xtqwdhxkhw/edit?usp=sharing"",""นครนายก!L279"")"),0)</f>
        <v>0</v>
      </c>
      <c r="M384" s="170"/>
      <c r="N384" s="170">
        <f ca="1">IFERROR(__xludf.DUMMYFUNCTION("IMPORTRANGE(""https://docs.google.com/spreadsheets/d/1SX6NBoVAgQJ6U1MVXOaj8PK2l7WJ3RER9xtqwdhxkhw/edit?usp=sharing"",""นครนายก!M279"")"),0)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IFERROR(__xludf.DUMMYFUNCTION("IMPORTRANGE(""https://docs.google.com/spreadsheets/d/1SX6NBoVAgQJ6U1MVXOaj8PK2l7WJ3RER9xtqwdhxkhw/edit?usp=sharing"",""นครนายก!L280"")"),87710)</f>
        <v>87710</v>
      </c>
      <c r="M385" s="170"/>
      <c r="N385" s="169">
        <f ca="1">IFERROR(__xludf.DUMMYFUNCTION("IMPORTRANGE(""https://docs.google.com/spreadsheets/d/1SX6NBoVAgQJ6U1MVXOaj8PK2l7WJ3RER9xtqwdhxkhw/edit?usp=sharing"",""นครนายก!M280"")"),6450)</f>
        <v>6450</v>
      </c>
      <c r="O385" s="170">
        <f t="shared" ca="1" si="109"/>
        <v>7.3537795006270663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IFERROR(__xludf.DUMMYFUNCTION("IMPORTRANGE(""https://docs.google.com/spreadsheets/d/1SX6NBoVAgQJ6U1MVXOaj8PK2l7WJ3RER9xtqwdhxkhw/edit?usp=sharing"",""นครนายก!M281"")"),6450)</f>
        <v>6450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IFERROR(__xludf.DUMMYFUNCTION("IMPORTRANGE(""https://docs.google.com/spreadsheets/d/1SX6NBoVAgQJ6U1MVXOaj8PK2l7WJ3RER9xtqwdhxkhw/edit?usp=sharing"",""นครนายก!M282"")"),0)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IFERROR(__xludf.DUMMYFUNCTION("IMPORTRANGE(""https://docs.google.com/spreadsheets/d/1SX6NBoVAgQJ6U1MVXOaj8PK2l7WJ3RER9xtqwdhxkhw/edit?usp=sharing"",""นครนายก!M284"")"),0)</f>
        <v>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IFERROR(__xludf.DUMMYFUNCTION("IMPORTRANGE(""https://docs.google.com/spreadsheets/d/1SX6NBoVAgQJ6U1MVXOaj8PK2l7WJ3RER9xtqwdhxkhw/edit?usp=sharing"",""นครนายก!J286"")"),0)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IFERROR(__xludf.DUMMYFUNCTION("IMPORTRANGE(""https://docs.google.com/spreadsheets/d/1SX6NBoVAgQJ6U1MVXOaj8PK2l7WJ3RER9xtqwdhxkhw/edit?usp=sharing"",""นครนายก!J287"")"),1)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IFERROR(__xludf.DUMMYFUNCTION("IMPORTRANGE(""https://docs.google.com/spreadsheets/d/1SX6NBoVAgQJ6U1MVXOaj8PK2l7WJ3RER9xtqwdhxkhw/edit?usp=sharing"",""นครนายก!J288"")"),0)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IFERROR(__xludf.DUMMYFUNCTION("IMPORTRANGE(""https://docs.google.com/spreadsheets/d/1SX6NBoVAgQJ6U1MVXOaj8PK2l7WJ3RER9xtqwdhxkhw/edit?usp=sharing"",""นครนายก!J289"")"),0)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IFERROR(__xludf.DUMMYFUNCTION("IMPORTRANGE(""https://docs.google.com/spreadsheets/d/1SX6NBoVAgQJ6U1MVXOaj8PK2l7WJ3RER9xtqwdhxkhw/edit?usp=sharing"",""นครนายก!I291"")"),5)</f>
        <v>5</v>
      </c>
      <c r="J396" s="199">
        <f ca="1">IFERROR(__xludf.DUMMYFUNCTION("IMPORTRANGE(""https://docs.google.com/spreadsheets/d/1SX6NBoVAgQJ6U1MVXOaj8PK2l7WJ3RER9xtqwdhxkhw/edit?usp=sharing"",""นครนายก!J291"")"),6)</f>
        <v>6</v>
      </c>
      <c r="K396" s="165">
        <f t="shared" ref="K396:K398" ca="1" si="110">IF(I396&gt;0,J396*100/I396,0)</f>
        <v>120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IFERROR(__xludf.DUMMYFUNCTION("IMPORTRANGE(""https://docs.google.com/spreadsheets/d/1SX6NBoVAgQJ6U1MVXOaj8PK2l7WJ3RER9xtqwdhxkhw/edit?usp=sharing"",""นครนายก!I292"")"),50)</f>
        <v>50</v>
      </c>
      <c r="J397" s="199">
        <f ca="1">IFERROR(__xludf.DUMMYFUNCTION("IMPORTRANGE(""https://docs.google.com/spreadsheets/d/1SX6NBoVAgQJ6U1MVXOaj8PK2l7WJ3RER9xtqwdhxkhw/edit?usp=sharing"",""นครนายก!J292"")"),50)</f>
        <v>50</v>
      </c>
      <c r="K397" s="165">
        <f t="shared" ca="1" si="110"/>
        <v>100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IFERROR(__xludf.DUMMYFUNCTION("IMPORTRANGE(""https://docs.google.com/spreadsheets/d/1SX6NBoVAgQJ6U1MVXOaj8PK2l7WJ3RER9xtqwdhxkhw/edit?usp=sharing"",""นครนายก!I293"")"),5)</f>
        <v>5</v>
      </c>
      <c r="J398" s="199">
        <f ca="1">IFERROR(__xludf.DUMMYFUNCTION("IMPORTRANGE(""https://docs.google.com/spreadsheets/d/1SX6NBoVAgQJ6U1MVXOaj8PK2l7WJ3RER9xtqwdhxkhw/edit?usp=sharing"",""นครนายก!J293"")"),0)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IFERROR(__xludf.DUMMYFUNCTION("IMPORTRANGE(""https://docs.google.com/spreadsheets/d/1SX6NBoVAgQJ6U1MVXOaj8PK2l7WJ3RER9xtqwdhxkhw/edit?usp=sharing"",""นครนายก!J294"")"),0)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IFERROR(__xludf.DUMMYFUNCTION("IMPORTRANGE(""https://docs.google.com/spreadsheets/d/1SX6NBoVAgQJ6U1MVXOaj8PK2l7WJ3RER9xtqwdhxkhw/edit?usp=sharing"",""นครนายก!J295"")"),0)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IFERROR(__xludf.DUMMYFUNCTION("IMPORTRANGE(""https://docs.google.com/spreadsheets/d/1SX6NBoVAgQJ6U1MVXOaj8PK2l7WJ3RER9xtqwdhxkhw/edit?usp=sharing"",""นครนายก!M296"")"),65460)</f>
        <v>65460</v>
      </c>
      <c r="O401" s="373">
        <f ca="1">+IF(L401&gt;0,N401*100/L401,0)</f>
        <v>28.539041722980336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IFERROR(__xludf.DUMMYFUNCTION("IMPORTRANGE(""https://docs.google.com/spreadsheets/d/1SX6NBoVAgQJ6U1MVXOaj8PK2l7WJ3RER9xtqwdhxkhw/edit?usp=sharing"",""นครนายก!L298"")"),0)</f>
        <v>0</v>
      </c>
      <c r="M403" s="166"/>
      <c r="N403" s="170">
        <f ca="1">IFERROR(__xludf.DUMMYFUNCTION("IMPORTRANGE(""https://docs.google.com/spreadsheets/d/1SX6NBoVAgQJ6U1MVXOaj8PK2l7WJ3RER9xtqwdhxkhw/edit?usp=sharing"",""นครนายก!M298"")"),0)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IFERROR(__xludf.DUMMYFUNCTION("IMPORTRANGE(""https://docs.google.com/spreadsheets/d/1SX6NBoVAgQJ6U1MVXOaj8PK2l7WJ3RER9xtqwdhxkhw/edit?usp=sharing"",""นครนายก!L299"")"),229370)</f>
        <v>229370</v>
      </c>
      <c r="M404" s="167"/>
      <c r="N404" s="170">
        <f ca="1">IFERROR(__xludf.DUMMYFUNCTION("IMPORTRANGE(""https://docs.google.com/spreadsheets/d/1SX6NBoVAgQJ6U1MVXOaj8PK2l7WJ3RER9xtqwdhxkhw/edit?usp=sharing"",""นครนายก!M299"")"),65460)</f>
        <v>65460</v>
      </c>
      <c r="O404" s="170">
        <f t="shared" ca="1" si="112"/>
        <v>28.539041722980336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IFERROR(__xludf.DUMMYFUNCTION("IMPORTRANGE(""https://docs.google.com/spreadsheets/d/1SX6NBoVAgQJ6U1MVXOaj8PK2l7WJ3RER9xtqwdhxkhw/edit?usp=sharing"",""นครนายก!L300"")"),0)</f>
        <v>0</v>
      </c>
      <c r="M405" s="170"/>
      <c r="N405" s="170">
        <f ca="1">IFERROR(__xludf.DUMMYFUNCTION("IMPORTRANGE(""https://docs.google.com/spreadsheets/d/1SX6NBoVAgQJ6U1MVXOaj8PK2l7WJ3RER9xtqwdhxkhw/edit?usp=sharing"",""นครนายก!M300"")"),0)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IFERROR(__xludf.DUMMYFUNCTION("IMPORTRANGE(""https://docs.google.com/spreadsheets/d/1SX6NBoVAgQJ6U1MVXOaj8PK2l7WJ3RER9xtqwdhxkhw/edit?usp=sharing"",""นครนายก!L301"")"),229370)</f>
        <v>229370</v>
      </c>
      <c r="M406" s="170"/>
      <c r="N406" s="170">
        <f ca="1">IFERROR(__xludf.DUMMYFUNCTION("IMPORTRANGE(""https://docs.google.com/spreadsheets/d/1SX6NBoVAgQJ6U1MVXOaj8PK2l7WJ3RER9xtqwdhxkhw/edit?usp=sharing"",""นครนายก!M301"")"),65460)</f>
        <v>65460</v>
      </c>
      <c r="O406" s="170">
        <f t="shared" ca="1" si="112"/>
        <v>28.539041722980336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IFERROR(__xludf.DUMMYFUNCTION("IMPORTRANGE(""https://docs.google.com/spreadsheets/d/1SX6NBoVAgQJ6U1MVXOaj8PK2l7WJ3RER9xtqwdhxkhw/edit?usp=sharing"",""นครนายก!M302"")"),55460)</f>
        <v>55460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IFERROR(__xludf.DUMMYFUNCTION("IMPORTRANGE(""https://docs.google.com/spreadsheets/d/1SX6NBoVAgQJ6U1MVXOaj8PK2l7WJ3RER9xtqwdhxkhw/edit?usp=sharing"",""นครนายก!M303"")"),0)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IFERROR(__xludf.DUMMYFUNCTION("IMPORTRANGE(""https://docs.google.com/spreadsheets/d/1SX6NBoVAgQJ6U1MVXOaj8PK2l7WJ3RER9xtqwdhxkhw/edit?usp=sharing"",""นครนายก!M305"")"),10000)</f>
        <v>10000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IFERROR(__xludf.DUMMYFUNCTION("IMPORTRANGE(""https://docs.google.com/spreadsheets/d/1SX6NBoVAgQJ6U1MVXOaj8PK2l7WJ3RER9xtqwdhxkhw/edit?usp=sharing"",""นครนายก!J307"")"),0)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IFERROR(__xludf.DUMMYFUNCTION("IMPORTRANGE(""https://docs.google.com/spreadsheets/d/1SX6NBoVAgQJ6U1MVXOaj8PK2l7WJ3RER9xtqwdhxkhw/edit?usp=sharing"",""นครนายก!J308"")"),1)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IFERROR(__xludf.DUMMYFUNCTION("IMPORTRANGE(""https://docs.google.com/spreadsheets/d/1SX6NBoVAgQJ6U1MVXOaj8PK2l7WJ3RER9xtqwdhxkhw/edit?usp=sharing"",""นครนายก!J309"")"),0)</f>
        <v>0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IFERROR(__xludf.DUMMYFUNCTION("IMPORTRANGE(""https://docs.google.com/spreadsheets/d/1SX6NBoVAgQJ6U1MVXOaj8PK2l7WJ3RER9xtqwdhxkhw/edit?usp=sharing"",""นครนายก!J310"")"),0)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IFERROR(__xludf.DUMMYFUNCTION("IMPORTRANGE(""https://docs.google.com/spreadsheets/d/1SX6NBoVAgQJ6U1MVXOaj8PK2l7WJ3RER9xtqwdhxkhw/edit?usp=sharing"",""นครนายก!I311"")"),68)</f>
        <v>68</v>
      </c>
      <c r="J416" s="202">
        <f ca="1">IFERROR(__xludf.DUMMYFUNCTION("IMPORTRANGE(""https://docs.google.com/spreadsheets/d/1SX6NBoVAgQJ6U1MVXOaj8PK2l7WJ3RER9xtqwdhxkhw/edit?usp=sharing"",""นครนายก!J311"")"),0)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IFERROR(__xludf.DUMMYFUNCTION("IMPORTRANGE(""https://docs.google.com/spreadsheets/d/1SX6NBoVAgQJ6U1MVXOaj8PK2l7WJ3RER9xtqwdhxkhw/edit?usp=sharing"",""นครนายก!J328"")"),0)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IFERROR(__xludf.DUMMYFUNCTION("IMPORTRANGE(""https://docs.google.com/spreadsheets/d/1SX6NBoVAgQJ6U1MVXOaj8PK2l7WJ3RER9xtqwdhxkhw/edit?usp=sharing"",""นครนายก!J329"")"),0)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IFERROR(__xludf.DUMMYFUNCTION("IMPORTRANGE(""https://docs.google.com/spreadsheets/d/1SX6NBoVAgQJ6U1MVXOaj8PK2l7WJ3RER9xtqwdhxkhw/edit?usp=sharing"",""นครนายก!M330"")"),51480)</f>
        <v>51480</v>
      </c>
      <c r="O435" s="412">
        <f t="shared" ref="O435:O439" ca="1" si="114">+IF(L435&gt;0,N435*100/L435,0)</f>
        <v>22.382608695652173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IFERROR(__xludf.DUMMYFUNCTION("IMPORTRANGE(""https://docs.google.com/spreadsheets/d/1SX6NBoVAgQJ6U1MVXOaj8PK2l7WJ3RER9xtqwdhxkhw/edit?usp=sharing"",""นครนายก!L331"")"),0)</f>
        <v>0</v>
      </c>
      <c r="M436" s="166"/>
      <c r="N436" s="170">
        <f ca="1">IFERROR(__xludf.DUMMYFUNCTION("IMPORTRANGE(""https://docs.google.com/spreadsheets/d/1SX6NBoVAgQJ6U1MVXOaj8PK2l7WJ3RER9xtqwdhxkhw/edit?usp=sharing"",""นครนายก!M331"")"),0)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IFERROR(__xludf.DUMMYFUNCTION("IMPORTRANGE(""https://docs.google.com/spreadsheets/d/1SX6NBoVAgQJ6U1MVXOaj8PK2l7WJ3RER9xtqwdhxkhw/edit?usp=sharing"",""นครนายก!L332"")"),230000)</f>
        <v>230000</v>
      </c>
      <c r="M437" s="167"/>
      <c r="N437" s="170">
        <f ca="1">IFERROR(__xludf.DUMMYFUNCTION("IMPORTRANGE(""https://docs.google.com/spreadsheets/d/1SX6NBoVAgQJ6U1MVXOaj8PK2l7WJ3RER9xtqwdhxkhw/edit?usp=sharing"",""นครนายก!M332"")"),51480)</f>
        <v>51480</v>
      </c>
      <c r="O437" s="170">
        <f t="shared" ca="1" si="114"/>
        <v>22.382608695652173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IFERROR(__xludf.DUMMYFUNCTION("IMPORTRANGE(""https://docs.google.com/spreadsheets/d/1SX6NBoVAgQJ6U1MVXOaj8PK2l7WJ3RER9xtqwdhxkhw/edit?usp=sharing"",""นครนายก!L333"")"),0)</f>
        <v>0</v>
      </c>
      <c r="M438" s="170"/>
      <c r="N438" s="170">
        <f ca="1">IFERROR(__xludf.DUMMYFUNCTION("IMPORTRANGE(""https://docs.google.com/spreadsheets/d/1SX6NBoVAgQJ6U1MVXOaj8PK2l7WJ3RER9xtqwdhxkhw/edit?usp=sharing"",""นครนายก!M333"")"),0)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IFERROR(__xludf.DUMMYFUNCTION("IMPORTRANGE(""https://docs.google.com/spreadsheets/d/1SX6NBoVAgQJ6U1MVXOaj8PK2l7WJ3RER9xtqwdhxkhw/edit?usp=sharing"",""นครนายก!L334"")"),230000)</f>
        <v>230000</v>
      </c>
      <c r="M439" s="170"/>
      <c r="N439" s="170">
        <f ca="1">IFERROR(__xludf.DUMMYFUNCTION("IMPORTRANGE(""https://docs.google.com/spreadsheets/d/1SX6NBoVAgQJ6U1MVXOaj8PK2l7WJ3RER9xtqwdhxkhw/edit?usp=sharing"",""นครนายก!M334"")"),51480)</f>
        <v>51480</v>
      </c>
      <c r="O439" s="170">
        <f t="shared" ca="1" si="114"/>
        <v>22.382608695652173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IFERROR(__xludf.DUMMYFUNCTION("IMPORTRANGE(""https://docs.google.com/spreadsheets/d/1SX6NBoVAgQJ6U1MVXOaj8PK2l7WJ3RER9xtqwdhxkhw/edit?usp=sharing"",""นครนายก!M335"")"),51480)</f>
        <v>51480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IFERROR(__xludf.DUMMYFUNCTION("IMPORTRANGE(""https://docs.google.com/spreadsheets/d/1SX6NBoVAgQJ6U1MVXOaj8PK2l7WJ3RER9xtqwdhxkhw/edit?usp=sharing"",""นครนายก!M338"")"),0)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IFERROR(__xludf.DUMMYFUNCTION("IMPORTRANGE(""https://docs.google.com/spreadsheets/d/1SX6NBoVAgQJ6U1MVXOaj8PK2l7WJ3RER9xtqwdhxkhw/edit?usp=sharing"",""นครนายก!J342"")"),0)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IFERROR(__xludf.DUMMYFUNCTION("IMPORTRANGE(""https://docs.google.com/spreadsheets/d/1SX6NBoVAgQJ6U1MVXOaj8PK2l7WJ3RER9xtqwdhxkhw/edit?usp=sharing"",""นครนายก!J343"")"),0)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2">
        <f ca="1">IFERROR(__xludf.DUMMYFUNCTION("IMPORTRANGE(""https://docs.google.com/spreadsheets/d/1SX6NBoVAgQJ6U1MVXOaj8PK2l7WJ3RER9xtqwdhxkhw/edit?usp=sharing"",""นครนายก!J344"")"),84)</f>
        <v>84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IFERROR(__xludf.DUMMYFUNCTION("IMPORTRANGE(""https://docs.google.com/spreadsheets/d/1SX6NBoVAgQJ6U1MVXOaj8PK2l7WJ3RER9xtqwdhxkhw/edit?usp=sharing"",""นครนายก!I345"")"),24)</f>
        <v>24</v>
      </c>
      <c r="J450" s="190">
        <f ca="1">IFERROR(__xludf.DUMMYFUNCTION("IMPORTRANGE(""https://docs.google.com/spreadsheets/d/1SX6NBoVAgQJ6U1MVXOaj8PK2l7WJ3RER9xtqwdhxkhw/edit?usp=sharing"",""นครนายก!J345"")"),24)</f>
        <v>24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IFERROR(__xludf.DUMMYFUNCTION("IMPORTRANGE(""https://docs.google.com/spreadsheets/d/1SX6NBoVAgQJ6U1MVXOaj8PK2l7WJ3RER9xtqwdhxkhw/edit?usp=sharing"",""นครนายก!I346"")"),60)</f>
        <v>60</v>
      </c>
      <c r="J451" s="189">
        <f ca="1">IFERROR(__xludf.DUMMYFUNCTION("IMPORTRANGE(""https://docs.google.com/spreadsheets/d/1SX6NBoVAgQJ6U1MVXOaj8PK2l7WJ3RER9xtqwdhxkhw/edit?usp=sharing"",""นครนายก!J346"")"),60)</f>
        <v>60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IFERROR(__xludf.DUMMYFUNCTION("IMPORTRANGE(""https://docs.google.com/spreadsheets/d/1SX6NBoVAgQJ6U1MVXOaj8PK2l7WJ3RER9xtqwdhxkhw/edit?usp=sharing"",""นครนายก!I347"")"),0)</f>
        <v>0</v>
      </c>
      <c r="J452" s="189">
        <f ca="1">IFERROR(__xludf.DUMMYFUNCTION("IMPORTRANGE(""https://docs.google.com/spreadsheets/d/1SX6NBoVAgQJ6U1MVXOaj8PK2l7WJ3RER9xtqwdhxkhw/edit?usp=sharing"",""นครนายก!J347"")"),0)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IFERROR(__xludf.DUMMYFUNCTION("IMPORTRANGE(""https://docs.google.com/spreadsheets/d/1SX6NBoVAgQJ6U1MVXOaj8PK2l7WJ3RER9xtqwdhxkhw/edit?usp=sharing"",""นครนายก!J348"")"),0)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IFERROR(__xludf.DUMMYFUNCTION("IMPORTRANGE(""https://docs.google.com/spreadsheets/d/1SX6NBoVAgQJ6U1MVXOaj8PK2l7WJ3RER9xtqwdhxkhw/edit?usp=sharing"",""นครนายก!J349"")"),0)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IFERROR(__xludf.DUMMYFUNCTION("IMPORTRANGE(""https://docs.google.com/spreadsheets/d/1SX6NBoVAgQJ6U1MVXOaj8PK2l7WJ3RER9xtqwdhxkhw/edit?usp=sharing"",""นครนายก!L351"")"),0)</f>
        <v>0</v>
      </c>
      <c r="M456" s="166"/>
      <c r="N456" s="170">
        <f ca="1">IFERROR(__xludf.DUMMYFUNCTION("IMPORTRANGE(""https://docs.google.com/spreadsheets/d/1SX6NBoVAgQJ6U1MVXOaj8PK2l7WJ3RER9xtqwdhxkhw/edit?usp=sharing"",""นครนายก!M351"")"),0)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IFERROR(__xludf.DUMMYFUNCTION("IMPORTRANGE(""https://docs.google.com/spreadsheets/d/1SX6NBoVAgQJ6U1MVXOaj8PK2l7WJ3RER9xtqwdhxkhw/edit?usp=sharing"",""นครนายก!L352"")"),0)</f>
        <v>0</v>
      </c>
      <c r="M457" s="167"/>
      <c r="N457" s="170">
        <f ca="1">IFERROR(__xludf.DUMMYFUNCTION("IMPORTRANGE(""https://docs.google.com/spreadsheets/d/1SX6NBoVAgQJ6U1MVXOaj8PK2l7WJ3RER9xtqwdhxkhw/edit?usp=sharing"",""นครนายก!M352"")"),0)</f>
        <v>0</v>
      </c>
      <c r="O457" s="170">
        <f t="shared" ca="1" si="116"/>
        <v>0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IFERROR(__xludf.DUMMYFUNCTION("IMPORTRANGE(""https://docs.google.com/spreadsheets/d/1SX6NBoVAgQJ6U1MVXOaj8PK2l7WJ3RER9xtqwdhxkhw/edit?usp=sharing"",""นครนายก!L353"")"),0)</f>
        <v>0</v>
      </c>
      <c r="M458" s="170"/>
      <c r="N458" s="170">
        <f ca="1">IFERROR(__xludf.DUMMYFUNCTION("IMPORTRANGE(""https://docs.google.com/spreadsheets/d/1SX6NBoVAgQJ6U1MVXOaj8PK2l7WJ3RER9xtqwdhxkhw/edit?usp=sharing"",""นครนายก!M353"")"),0)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IFERROR(__xludf.DUMMYFUNCTION("IMPORTRANGE(""https://docs.google.com/spreadsheets/d/1SX6NBoVAgQJ6U1MVXOaj8PK2l7WJ3RER9xtqwdhxkhw/edit?usp=sharing"",""นครนายก!L354"")"),0)</f>
        <v>0</v>
      </c>
      <c r="M459" s="170"/>
      <c r="N459" s="170">
        <f ca="1">IFERROR(__xludf.DUMMYFUNCTION("IMPORTRANGE(""https://docs.google.com/spreadsheets/d/1SX6NBoVAgQJ6U1MVXOaj8PK2l7WJ3RER9xtqwdhxkhw/edit?usp=sharing"",""นครนายก!M354"")"),0)</f>
        <v>0</v>
      </c>
      <c r="O459" s="170">
        <f t="shared" ca="1" si="116"/>
        <v>0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IFERROR(__xludf.DUMMYFUNCTION("IMPORTRANGE(""https://docs.google.com/spreadsheets/d/1SX6NBoVAgQJ6U1MVXOaj8PK2l7WJ3RER9xtqwdhxkhw/edit?usp=sharing"",""นครนายก!M355"")"),0)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IFERROR(__xludf.DUMMYFUNCTION("IMPORTRANGE(""https://docs.google.com/spreadsheets/d/1SX6NBoVAgQJ6U1MVXOaj8PK2l7WJ3RER9xtqwdhxkhw/edit?usp=sharing"",""นครนายก!M356"")"),0)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IFERROR(__xludf.DUMMYFUNCTION("IMPORTRANGE(""https://docs.google.com/spreadsheets/d/1SX6NBoVAgQJ6U1MVXOaj8PK2l7WJ3RER9xtqwdhxkhw/edit?usp=sharing"",""นครนายก!I362"")"),0)</f>
        <v>0</v>
      </c>
      <c r="J467" s="190">
        <f ca="1">IFERROR(__xludf.DUMMYFUNCTION("IMPORTRANGE(""https://docs.google.com/spreadsheets/d/1SX6NBoVAgQJ6U1MVXOaj8PK2l7WJ3RER9xtqwdhxkhw/edit?usp=sharing"",""นครนายก!J362"")"),0)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IFERROR(__xludf.DUMMYFUNCTION("IMPORTRANGE(""https://docs.google.com/spreadsheets/d/1SX6NBoVAgQJ6U1MVXOaj8PK2l7WJ3RER9xtqwdhxkhw/edit?usp=sharing"",""นครนายก!I363"")"),0)</f>
        <v>0</v>
      </c>
      <c r="J468" s="190">
        <f ca="1">IFERROR(__xludf.DUMMYFUNCTION("IMPORTRANGE(""https://docs.google.com/spreadsheets/d/1SX6NBoVAgQJ6U1MVXOaj8PK2l7WJ3RER9xtqwdhxkhw/edit?usp=sharing"",""นครนายก!J363"")"),0)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IFERROR(__xludf.DUMMYFUNCTION("IMPORTRANGE(""https://docs.google.com/spreadsheets/d/1SX6NBoVAgQJ6U1MVXOaj8PK2l7WJ3RER9xtqwdhxkhw/edit?usp=sharing"",""นครนายก!I364"")"),0)</f>
        <v>0</v>
      </c>
      <c r="J469" s="190">
        <f ca="1">IFERROR(__xludf.DUMMYFUNCTION("IMPORTRANGE(""https://docs.google.com/spreadsheets/d/1SX6NBoVAgQJ6U1MVXOaj8PK2l7WJ3RER9xtqwdhxkhw/edit?usp=sharing"",""นครนายก!J364"")"),0)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IFERROR(__xludf.DUMMYFUNCTION("IMPORTRANGE(""https://docs.google.com/spreadsheets/d/1SX6NBoVAgQJ6U1MVXOaj8PK2l7WJ3RER9xtqwdhxkhw/edit?usp=sharing"",""นครนายก!I365"")"),0)</f>
        <v>0</v>
      </c>
      <c r="J470" s="190">
        <f ca="1">IFERROR(__xludf.DUMMYFUNCTION("IMPORTRANGE(""https://docs.google.com/spreadsheets/d/1SX6NBoVAgQJ6U1MVXOaj8PK2l7WJ3RER9xtqwdhxkhw/edit?usp=sharing"",""นครนายก!J365"")"),0)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IFERROR(__xludf.DUMMYFUNCTION("IMPORTRANGE(""https://docs.google.com/spreadsheets/d/1SX6NBoVAgQJ6U1MVXOaj8PK2l7WJ3RER9xtqwdhxkhw/edit?usp=sharing"",""นครนายก!I366"")"),0)</f>
        <v>0</v>
      </c>
      <c r="J471" s="190">
        <f ca="1">IFERROR(__xludf.DUMMYFUNCTION("IMPORTRANGE(""https://docs.google.com/spreadsheets/d/1SX6NBoVAgQJ6U1MVXOaj8PK2l7WJ3RER9xtqwdhxkhw/edit?usp=sharing"",""นครนายก!J366"")"),0)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IFERROR(__xludf.DUMMYFUNCTION("IMPORTRANGE(""https://docs.google.com/spreadsheets/d/1SX6NBoVAgQJ6U1MVXOaj8PK2l7WJ3RER9xtqwdhxkhw/edit?usp=sharing"",""นครนายก!I367"")"),0)</f>
        <v>0</v>
      </c>
      <c r="J472" s="190">
        <f ca="1">IFERROR(__xludf.DUMMYFUNCTION("IMPORTRANGE(""https://docs.google.com/spreadsheets/d/1SX6NBoVAgQJ6U1MVXOaj8PK2l7WJ3RER9xtqwdhxkhw/edit?usp=sharing"",""นครนายก!J367"")"),0)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IFERROR(__xludf.DUMMYFUNCTION("IMPORTRANGE(""https://docs.google.com/spreadsheets/d/1SX6NBoVAgQJ6U1MVXOaj8PK2l7WJ3RER9xtqwdhxkhw/edit?usp=sharing"",""นครนายก!I370"")"),0)</f>
        <v>0</v>
      </c>
      <c r="J475" s="190">
        <f ca="1">IFERROR(__xludf.DUMMYFUNCTION("IMPORTRANGE(""https://docs.google.com/spreadsheets/d/1SX6NBoVAgQJ6U1MVXOaj8PK2l7WJ3RER9xtqwdhxkhw/edit?usp=sharing"",""นครนายก!J370"")"),0)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IFERROR(__xludf.DUMMYFUNCTION("IMPORTRANGE(""https://docs.google.com/spreadsheets/d/1SX6NBoVAgQJ6U1MVXOaj8PK2l7WJ3RER9xtqwdhxkhw/edit?usp=sharing"",""นครนายก!I371"")"),0)</f>
        <v>0</v>
      </c>
      <c r="J476" s="190">
        <f ca="1">IFERROR(__xludf.DUMMYFUNCTION("IMPORTRANGE(""https://docs.google.com/spreadsheets/d/1SX6NBoVAgQJ6U1MVXOaj8PK2l7WJ3RER9xtqwdhxkhw/edit?usp=sharing"",""นครนายก!J371"")"),0)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IFERROR(__xludf.DUMMYFUNCTION("IMPORTRANGE(""https://docs.google.com/spreadsheets/d/1SX6NBoVAgQJ6U1MVXOaj8PK2l7WJ3RER9xtqwdhxkhw/edit?usp=sharing"",""นครนายก!I372"")"),0)</f>
        <v>0</v>
      </c>
      <c r="J477" s="190">
        <f ca="1">IFERROR(__xludf.DUMMYFUNCTION("IMPORTRANGE(""https://docs.google.com/spreadsheets/d/1SX6NBoVAgQJ6U1MVXOaj8PK2l7WJ3RER9xtqwdhxkhw/edit?usp=sharing"",""นครนายก!J372"")"),0)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IFERROR(__xludf.DUMMYFUNCTION("IMPORTRANGE(""https://docs.google.com/spreadsheets/d/1SX6NBoVAgQJ6U1MVXOaj8PK2l7WJ3RER9xtqwdhxkhw/edit?usp=sharing"",""นครนายก!I373"")"),0)</f>
        <v>0</v>
      </c>
      <c r="J478" s="190">
        <f ca="1">IFERROR(__xludf.DUMMYFUNCTION("IMPORTRANGE(""https://docs.google.com/spreadsheets/d/1SX6NBoVAgQJ6U1MVXOaj8PK2l7WJ3RER9xtqwdhxkhw/edit?usp=sharing"",""นครนายก!J373"")"),0)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IFERROR(__xludf.DUMMYFUNCTION("IMPORTRANGE(""https://docs.google.com/spreadsheets/d/1SX6NBoVAgQJ6U1MVXOaj8PK2l7WJ3RER9xtqwdhxkhw/edit?usp=sharing"",""นครนายก!I374"")"),0)</f>
        <v>0</v>
      </c>
      <c r="J479" s="190">
        <f ca="1">IFERROR(__xludf.DUMMYFUNCTION("IMPORTRANGE(""https://docs.google.com/spreadsheets/d/1SX6NBoVAgQJ6U1MVXOaj8PK2l7WJ3RER9xtqwdhxkhw/edit?usp=sharing"",""นครนายก!J374"")"),0)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IFERROR(__xludf.DUMMYFUNCTION("IMPORTRANGE(""https://docs.google.com/spreadsheets/d/1SX6NBoVAgQJ6U1MVXOaj8PK2l7WJ3RER9xtqwdhxkhw/edit?usp=sharing"",""นครนายก!I375"")"),0)</f>
        <v>0</v>
      </c>
      <c r="J480" s="190">
        <f ca="1">IFERROR(__xludf.DUMMYFUNCTION("IMPORTRANGE(""https://docs.google.com/spreadsheets/d/1SX6NBoVAgQJ6U1MVXOaj8PK2l7WJ3RER9xtqwdhxkhw/edit?usp=sharing"",""นครนายก!J375"")"),0)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IFERROR(__xludf.DUMMYFUNCTION("IMPORTRANGE(""https://docs.google.com/spreadsheets/d/1SX6NBoVAgQJ6U1MVXOaj8PK2l7WJ3RER9xtqwdhxkhw/edit?usp=sharing"",""นครนายก!I378"")"),0)</f>
        <v>0</v>
      </c>
      <c r="J483" s="190">
        <f ca="1">IFERROR(__xludf.DUMMYFUNCTION("IMPORTRANGE(""https://docs.google.com/spreadsheets/d/1SX6NBoVAgQJ6U1MVXOaj8PK2l7WJ3RER9xtqwdhxkhw/edit?usp=sharing"",""นครนายก!J378"")"),0)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IFERROR(__xludf.DUMMYFUNCTION("IMPORTRANGE(""https://docs.google.com/spreadsheets/d/1SX6NBoVAgQJ6U1MVXOaj8PK2l7WJ3RER9xtqwdhxkhw/edit?usp=sharing"",""นครนายก!I379"")"),0)</f>
        <v>0</v>
      </c>
      <c r="J484" s="190">
        <f ca="1">IFERROR(__xludf.DUMMYFUNCTION("IMPORTRANGE(""https://docs.google.com/spreadsheets/d/1SX6NBoVAgQJ6U1MVXOaj8PK2l7WJ3RER9xtqwdhxkhw/edit?usp=sharing"",""นครนายก!J379"")"),0)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IFERROR(__xludf.DUMMYFUNCTION("IMPORTRANGE(""https://docs.google.com/spreadsheets/d/1SX6NBoVAgQJ6U1MVXOaj8PK2l7WJ3RER9xtqwdhxkhw/edit?usp=sharing"",""นครนายก!I380"")"),0)</f>
        <v>0</v>
      </c>
      <c r="J485" s="190">
        <f ca="1">IFERROR(__xludf.DUMMYFUNCTION("IMPORTRANGE(""https://docs.google.com/spreadsheets/d/1SX6NBoVAgQJ6U1MVXOaj8PK2l7WJ3RER9xtqwdhxkhw/edit?usp=sharing"",""นครนายก!J380"")"),0)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IFERROR(__xludf.DUMMYFUNCTION("IMPORTRANGE(""https://docs.google.com/spreadsheets/d/1SX6NBoVAgQJ6U1MVXOaj8PK2l7WJ3RER9xtqwdhxkhw/edit?usp=sharing"",""นครนายก!I381"")"),0)</f>
        <v>0</v>
      </c>
      <c r="J486" s="190">
        <f ca="1">IFERROR(__xludf.DUMMYFUNCTION("IMPORTRANGE(""https://docs.google.com/spreadsheets/d/1SX6NBoVAgQJ6U1MVXOaj8PK2l7WJ3RER9xtqwdhxkhw/edit?usp=sharing"",""นครนายก!J381"")"),0)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IFERROR(__xludf.DUMMYFUNCTION("IMPORTRANGE(""https://docs.google.com/spreadsheets/d/1SX6NBoVAgQJ6U1MVXOaj8PK2l7WJ3RER9xtqwdhxkhw/edit?usp=sharing"",""นครนายก!I384"")"),0)</f>
        <v>0</v>
      </c>
      <c r="J489" s="190">
        <f ca="1">IFERROR(__xludf.DUMMYFUNCTION("IMPORTRANGE(""https://docs.google.com/spreadsheets/d/1SX6NBoVAgQJ6U1MVXOaj8PK2l7WJ3RER9xtqwdhxkhw/edit?usp=sharing"",""นครนายก!J384"")"),0)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IFERROR(__xludf.DUMMYFUNCTION("IMPORTRANGE(""https://docs.google.com/spreadsheets/d/1SX6NBoVAgQJ6U1MVXOaj8PK2l7WJ3RER9xtqwdhxkhw/edit?usp=sharing"",""นครนายก!I385"")"),0)</f>
        <v>0</v>
      </c>
      <c r="J490" s="190">
        <f ca="1">IFERROR(__xludf.DUMMYFUNCTION("IMPORTRANGE(""https://docs.google.com/spreadsheets/d/1SX6NBoVAgQJ6U1MVXOaj8PK2l7WJ3RER9xtqwdhxkhw/edit?usp=sharing"",""นครนายก!J385"")"),0)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IFERROR(__xludf.DUMMYFUNCTION("IMPORTRANGE(""https://docs.google.com/spreadsheets/d/1SX6NBoVAgQJ6U1MVXOaj8PK2l7WJ3RER9xtqwdhxkhw/edit?usp=sharing"",""นครนายก!I386"")"),0)</f>
        <v>0</v>
      </c>
      <c r="J491" s="190">
        <f ca="1">IFERROR(__xludf.DUMMYFUNCTION("IMPORTRANGE(""https://docs.google.com/spreadsheets/d/1SX6NBoVAgQJ6U1MVXOaj8PK2l7WJ3RER9xtqwdhxkhw/edit?usp=sharing"",""นครนายก!J386"")"),0)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IFERROR(__xludf.DUMMYFUNCTION("IMPORTRANGE(""https://docs.google.com/spreadsheets/d/1SX6NBoVAgQJ6U1MVXOaj8PK2l7WJ3RER9xtqwdhxkhw/edit?usp=sharing"",""นครนายก!I387"")"),0)</f>
        <v>0</v>
      </c>
      <c r="J492" s="190">
        <f ca="1">IFERROR(__xludf.DUMMYFUNCTION("IMPORTRANGE(""https://docs.google.com/spreadsheets/d/1SX6NBoVAgQJ6U1MVXOaj8PK2l7WJ3RER9xtqwdhxkhw/edit?usp=sharing"",""นครนายก!J387"")"),0)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IFERROR(__xludf.DUMMYFUNCTION("IMPORTRANGE(""https://docs.google.com/spreadsheets/d/1SX6NBoVAgQJ6U1MVXOaj8PK2l7WJ3RER9xtqwdhxkhw/edit?usp=sharing"",""นครนายก!I388"")"),0)</f>
        <v>0</v>
      </c>
      <c r="J493" s="190">
        <f ca="1">IFERROR(__xludf.DUMMYFUNCTION("IMPORTRANGE(""https://docs.google.com/spreadsheets/d/1SX6NBoVAgQJ6U1MVXOaj8PK2l7WJ3RER9xtqwdhxkhw/edit?usp=sharing"",""นครนายก!J388"")"),0)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IFERROR(__xludf.DUMMYFUNCTION("IMPORTRANGE(""https://docs.google.com/spreadsheets/d/1SX6NBoVAgQJ6U1MVXOaj8PK2l7WJ3RER9xtqwdhxkhw/edit?usp=sharing"",""นครนายก!I395"")"),0)</f>
        <v>0</v>
      </c>
      <c r="J500" s="164">
        <f ca="1">IFERROR(__xludf.DUMMYFUNCTION("IMPORTRANGE(""https://docs.google.com/spreadsheets/d/1SX6NBoVAgQJ6U1MVXOaj8PK2l7WJ3RER9xtqwdhxkhw/edit?usp=sharing"",""นครนายก!J395"")"),0)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IFERROR(__xludf.DUMMYFUNCTION("IMPORTRANGE(""https://docs.google.com/spreadsheets/d/1SX6NBoVAgQJ6U1MVXOaj8PK2l7WJ3RER9xtqwdhxkhw/edit?usp=sharing"",""นครนายก!I396"")"),0)</f>
        <v>0</v>
      </c>
      <c r="J501" s="164">
        <f ca="1">IFERROR(__xludf.DUMMYFUNCTION("IMPORTRANGE(""https://docs.google.com/spreadsheets/d/1SX6NBoVAgQJ6U1MVXOaj8PK2l7WJ3RER9xtqwdhxkhw/edit?usp=sharing"",""นครนายก!J396"")"),0)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IFERROR(__xludf.DUMMYFUNCTION("IMPORTRANGE(""https://docs.google.com/spreadsheets/d/1SX6NBoVAgQJ6U1MVXOaj8PK2l7WJ3RER9xtqwdhxkhw/edit?usp=sharing"",""นครนายก!I397"")"),0)</f>
        <v>0</v>
      </c>
      <c r="J502" s="190">
        <f ca="1">IFERROR(__xludf.DUMMYFUNCTION("IMPORTRANGE(""https://docs.google.com/spreadsheets/d/1SX6NBoVAgQJ6U1MVXOaj8PK2l7WJ3RER9xtqwdhxkhw/edit?usp=sharing"",""นครนายก!J397"")"),0)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IFERROR(__xludf.DUMMYFUNCTION("IMPORTRANGE(""https://docs.google.com/spreadsheets/d/1SX6NBoVAgQJ6U1MVXOaj8PK2l7WJ3RER9xtqwdhxkhw/edit?usp=sharing"",""นครนายก!I398"")"),0)</f>
        <v>0</v>
      </c>
      <c r="J503" s="199">
        <f ca="1">IFERROR(__xludf.DUMMYFUNCTION("IMPORTRANGE(""https://docs.google.com/spreadsheets/d/1SX6NBoVAgQJ6U1MVXOaj8PK2l7WJ3RER9xtqwdhxkhw/edit?usp=sharing"",""นครนายก!J398"")"),0)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IFERROR(__xludf.DUMMYFUNCTION("IMPORTRANGE(""https://docs.google.com/spreadsheets/d/1SX6NBoVAgQJ6U1MVXOaj8PK2l7WJ3RER9xtqwdhxkhw/edit?usp=sharing"",""นครนายก!I399"")"),0)</f>
        <v>0</v>
      </c>
      <c r="J504" s="190">
        <f ca="1">IFERROR(__xludf.DUMMYFUNCTION("IMPORTRANGE(""https://docs.google.com/spreadsheets/d/1SX6NBoVAgQJ6U1MVXOaj8PK2l7WJ3RER9xtqwdhxkhw/edit?usp=sharing"",""นครนายก!J399"")"),0)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IFERROR(__xludf.DUMMYFUNCTION("IMPORTRANGE(""https://docs.google.com/spreadsheets/d/1SX6NBoVAgQJ6U1MVXOaj8PK2l7WJ3RER9xtqwdhxkhw/edit?usp=sharing"",""นครนายก!I400"")"),0)</f>
        <v>0</v>
      </c>
      <c r="J505" s="199">
        <f ca="1">IFERROR(__xludf.DUMMYFUNCTION("IMPORTRANGE(""https://docs.google.com/spreadsheets/d/1SX6NBoVAgQJ6U1MVXOaj8PK2l7WJ3RER9xtqwdhxkhw/edit?usp=sharing"",""นครนายก!J400"")"),0)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IFERROR(__xludf.DUMMYFUNCTION("IMPORTRANGE(""https://docs.google.com/spreadsheets/d/1SX6NBoVAgQJ6U1MVXOaj8PK2l7WJ3RER9xtqwdhxkhw/edit?usp=sharing"",""นครนายก!I401"")"),0)</f>
        <v>0</v>
      </c>
      <c r="J506" s="190">
        <f ca="1">IFERROR(__xludf.DUMMYFUNCTION("IMPORTRANGE(""https://docs.google.com/spreadsheets/d/1SX6NBoVAgQJ6U1MVXOaj8PK2l7WJ3RER9xtqwdhxkhw/edit?usp=sharing"",""นครนายก!J401"")"),0)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IFERROR(__xludf.DUMMYFUNCTION("IMPORTRANGE(""https://docs.google.com/spreadsheets/d/1SX6NBoVAgQJ6U1MVXOaj8PK2l7WJ3RER9xtqwdhxkhw/edit?usp=sharing"",""นครนายก!I402"")"),0)</f>
        <v>0</v>
      </c>
      <c r="J507" s="199">
        <f ca="1">IFERROR(__xludf.DUMMYFUNCTION("IMPORTRANGE(""https://docs.google.com/spreadsheets/d/1SX6NBoVAgQJ6U1MVXOaj8PK2l7WJ3RER9xtqwdhxkhw/edit?usp=sharing"",""นครนายก!J402"")"),0)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IFERROR(__xludf.DUMMYFUNCTION("IMPORTRANGE(""https://docs.google.com/spreadsheets/d/1SX6NBoVAgQJ6U1MVXOaj8PK2l7WJ3RER9xtqwdhxkhw/edit?usp=sharing"",""นครนายก!I403"")"),0)</f>
        <v>0</v>
      </c>
      <c r="J508" s="164">
        <f ca="1">IFERROR(__xludf.DUMMYFUNCTION("IMPORTRANGE(""https://docs.google.com/spreadsheets/d/1SX6NBoVAgQJ6U1MVXOaj8PK2l7WJ3RER9xtqwdhxkhw/edit?usp=sharing"",""นครนายก!J403"")"),0)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IFERROR(__xludf.DUMMYFUNCTION("IMPORTRANGE(""https://docs.google.com/spreadsheets/d/1SX6NBoVAgQJ6U1MVXOaj8PK2l7WJ3RER9xtqwdhxkhw/edit?usp=sharing"",""นครนายก!I404"")"),0)</f>
        <v>0</v>
      </c>
      <c r="J509" s="164">
        <f ca="1">IFERROR(__xludf.DUMMYFUNCTION("IMPORTRANGE(""https://docs.google.com/spreadsheets/d/1SX6NBoVAgQJ6U1MVXOaj8PK2l7WJ3RER9xtqwdhxkhw/edit?usp=sharing"",""นครนายก!J404"")"),0)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IFERROR(__xludf.DUMMYFUNCTION("IMPORTRANGE(""https://docs.google.com/spreadsheets/d/1SX6NBoVAgQJ6U1MVXOaj8PK2l7WJ3RER9xtqwdhxkhw/edit?usp=sharing"",""นครนายก!I405"")"),0)</f>
        <v>0</v>
      </c>
      <c r="J510" s="199">
        <f ca="1">IFERROR(__xludf.DUMMYFUNCTION("IMPORTRANGE(""https://docs.google.com/spreadsheets/d/1SX6NBoVAgQJ6U1MVXOaj8PK2l7WJ3RER9xtqwdhxkhw/edit?usp=sharing"",""นครนายก!J405"")"),0)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IFERROR(__xludf.DUMMYFUNCTION("IMPORTRANGE(""https://docs.google.com/spreadsheets/d/1SX6NBoVAgQJ6U1MVXOaj8PK2l7WJ3RER9xtqwdhxkhw/edit?usp=sharing"",""นครนายก!I406"")"),0)</f>
        <v>0</v>
      </c>
      <c r="J511" s="199">
        <f ca="1">IFERROR(__xludf.DUMMYFUNCTION("IMPORTRANGE(""https://docs.google.com/spreadsheets/d/1SX6NBoVAgQJ6U1MVXOaj8PK2l7WJ3RER9xtqwdhxkhw/edit?usp=sharing"",""นครนายก!J406"")"),0)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IFERROR(__xludf.DUMMYFUNCTION("IMPORTRANGE(""https://docs.google.com/spreadsheets/d/1SX6NBoVAgQJ6U1MVXOaj8PK2l7WJ3RER9xtqwdhxkhw/edit?usp=sharing"",""นครนายก!I407"")"),0)</f>
        <v>0</v>
      </c>
      <c r="J512" s="199">
        <f ca="1">IFERROR(__xludf.DUMMYFUNCTION("IMPORTRANGE(""https://docs.google.com/spreadsheets/d/1SX6NBoVAgQJ6U1MVXOaj8PK2l7WJ3RER9xtqwdhxkhw/edit?usp=sharing"",""นครนายก!J407"")"),0)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IFERROR(__xludf.DUMMYFUNCTION("IMPORTRANGE(""https://docs.google.com/spreadsheets/d/1SX6NBoVAgQJ6U1MVXOaj8PK2l7WJ3RER9xtqwdhxkhw/edit?usp=sharing"",""นครนายก!I408"")"),0)</f>
        <v>0</v>
      </c>
      <c r="J513" s="199">
        <f ca="1">IFERROR(__xludf.DUMMYFUNCTION("IMPORTRANGE(""https://docs.google.com/spreadsheets/d/1SX6NBoVAgQJ6U1MVXOaj8PK2l7WJ3RER9xtqwdhxkhw/edit?usp=sharing"",""นครนายก!J408"")"),0)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IFERROR(__xludf.DUMMYFUNCTION("IMPORTRANGE(""https://docs.google.com/spreadsheets/d/1SX6NBoVAgQJ6U1MVXOaj8PK2l7WJ3RER9xtqwdhxkhw/edit?usp=sharing"",""นครนายก!I409"")"),0)</f>
        <v>0</v>
      </c>
      <c r="J514" s="199">
        <f ca="1">IFERROR(__xludf.DUMMYFUNCTION("IMPORTRANGE(""https://docs.google.com/spreadsheets/d/1SX6NBoVAgQJ6U1MVXOaj8PK2l7WJ3RER9xtqwdhxkhw/edit?usp=sharing"",""นครนายก!J409"")"),0)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IFERROR(__xludf.DUMMYFUNCTION("IMPORTRANGE(""https://docs.google.com/spreadsheets/d/1SX6NBoVAgQJ6U1MVXOaj8PK2l7WJ3RER9xtqwdhxkhw/edit?usp=sharing"",""นครนายก!I410"")"),0)</f>
        <v>0</v>
      </c>
      <c r="J515" s="199">
        <f ca="1">IFERROR(__xludf.DUMMYFUNCTION("IMPORTRANGE(""https://docs.google.com/spreadsheets/d/1SX6NBoVAgQJ6U1MVXOaj8PK2l7WJ3RER9xtqwdhxkhw/edit?usp=sharing"",""นครนายก!J410"")"),0)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IFERROR(__xludf.DUMMYFUNCTION("IMPORTRANGE(""https://docs.google.com/spreadsheets/d/1SX6NBoVAgQJ6U1MVXOaj8PK2l7WJ3RER9xtqwdhxkhw/edit?usp=sharing"",""นครนายก!I412"")"),0)</f>
        <v>0</v>
      </c>
      <c r="J517" s="284">
        <f ca="1">IFERROR(__xludf.DUMMYFUNCTION("IMPORTRANGE(""https://docs.google.com/spreadsheets/d/1SX6NBoVAgQJ6U1MVXOaj8PK2l7WJ3RER9xtqwdhxkhw/edit?usp=sharing"",""นครนายก!J412"")"),0)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IFERROR(__xludf.DUMMYFUNCTION("IMPORTRANGE(""https://docs.google.com/spreadsheets/d/1SX6NBoVAgQJ6U1MVXOaj8PK2l7WJ3RER9xtqwdhxkhw/edit?usp=sharing"",""นครนายก!I413"")"),0)</f>
        <v>0</v>
      </c>
      <c r="J518" s="284">
        <f ca="1">IFERROR(__xludf.DUMMYFUNCTION("IMPORTRANGE(""https://docs.google.com/spreadsheets/d/1SX6NBoVAgQJ6U1MVXOaj8PK2l7WJ3RER9xtqwdhxkhw/edit?usp=sharing"",""นครนายก!J413"")"),0)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IFERROR(__xludf.DUMMYFUNCTION("IMPORTRANGE(""https://docs.google.com/spreadsheets/d/1SX6NBoVAgQJ6U1MVXOaj8PK2l7WJ3RER9xtqwdhxkhw/edit?usp=sharing"",""นครนายก!I414"")"),0)</f>
        <v>0</v>
      </c>
      <c r="J519" s="189">
        <f ca="1">IFERROR(__xludf.DUMMYFUNCTION("IMPORTRANGE(""https://docs.google.com/spreadsheets/d/1SX6NBoVAgQJ6U1MVXOaj8PK2l7WJ3RER9xtqwdhxkhw/edit?usp=sharing"",""นครนายก!J414"")"),0)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IFERROR(__xludf.DUMMYFUNCTION("IMPORTRANGE(""https://docs.google.com/spreadsheets/d/1SX6NBoVAgQJ6U1MVXOaj8PK2l7WJ3RER9xtqwdhxkhw/edit?usp=sharing"",""นครนายก!I415"")"),0)</f>
        <v>0</v>
      </c>
      <c r="J520" s="189">
        <f ca="1">IFERROR(__xludf.DUMMYFUNCTION("IMPORTRANGE(""https://docs.google.com/spreadsheets/d/1SX6NBoVAgQJ6U1MVXOaj8PK2l7WJ3RER9xtqwdhxkhw/edit?usp=sharing"",""นครนายก!J415"")"),0)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IFERROR(__xludf.DUMMYFUNCTION("IMPORTRANGE(""https://docs.google.com/spreadsheets/d/1SX6NBoVAgQJ6U1MVXOaj8PK2l7WJ3RER9xtqwdhxkhw/edit?usp=sharing"",""นครนายก!I416"")"),0)</f>
        <v>0</v>
      </c>
      <c r="J521" s="189">
        <f ca="1">IFERROR(__xludf.DUMMYFUNCTION("IMPORTRANGE(""https://docs.google.com/spreadsheets/d/1SX6NBoVAgQJ6U1MVXOaj8PK2l7WJ3RER9xtqwdhxkhw/edit?usp=sharing"",""นครนายก!J416"")"),0)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IFERROR(__xludf.DUMMYFUNCTION("IMPORTRANGE(""https://docs.google.com/spreadsheets/d/1SX6NBoVAgQJ6U1MVXOaj8PK2l7WJ3RER9xtqwdhxkhw/edit?usp=sharing"",""นครนายก!I417"")"),0)</f>
        <v>0</v>
      </c>
      <c r="J522" s="189">
        <f ca="1">IFERROR(__xludf.DUMMYFUNCTION("IMPORTRANGE(""https://docs.google.com/spreadsheets/d/1SX6NBoVAgQJ6U1MVXOaj8PK2l7WJ3RER9xtqwdhxkhw/edit?usp=sharing"",""นครนายก!J417"")"),0)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IFERROR(__xludf.DUMMYFUNCTION("IMPORTRANGE(""https://docs.google.com/spreadsheets/d/1SX6NBoVAgQJ6U1MVXOaj8PK2l7WJ3RER9xtqwdhxkhw/edit?usp=sharing"",""นครนายก!I418"")"),0)</f>
        <v>0</v>
      </c>
      <c r="J523" s="189">
        <f ca="1">IFERROR(__xludf.DUMMYFUNCTION("IMPORTRANGE(""https://docs.google.com/spreadsheets/d/1SX6NBoVAgQJ6U1MVXOaj8PK2l7WJ3RER9xtqwdhxkhw/edit?usp=sharing"",""นครนายก!J418"")"),0)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IFERROR(__xludf.DUMMYFUNCTION("IMPORTRANGE(""https://docs.google.com/spreadsheets/d/1SX6NBoVAgQJ6U1MVXOaj8PK2l7WJ3RER9xtqwdhxkhw/edit?usp=sharing"",""นครนายก!I419"")"),0)</f>
        <v>0</v>
      </c>
      <c r="J524" s="189">
        <f ca="1">IFERROR(__xludf.DUMMYFUNCTION("IMPORTRANGE(""https://docs.google.com/spreadsheets/d/1SX6NBoVAgQJ6U1MVXOaj8PK2l7WJ3RER9xtqwdhxkhw/edit?usp=sharing"",""นครนายก!J419"")"),0)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IFERROR(__xludf.DUMMYFUNCTION("IMPORTRANGE(""https://docs.google.com/spreadsheets/d/1SX6NBoVAgQJ6U1MVXOaj8PK2l7WJ3RER9xtqwdhxkhw/edit?usp=sharing"",""นครนายก!I420"")"),0)</f>
        <v>0</v>
      </c>
      <c r="J525" s="284">
        <f ca="1">IFERROR(__xludf.DUMMYFUNCTION("IMPORTRANGE(""https://docs.google.com/spreadsheets/d/1SX6NBoVAgQJ6U1MVXOaj8PK2l7WJ3RER9xtqwdhxkhw/edit?usp=sharing"",""นครนายก!J420"")"),0)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IFERROR(__xludf.DUMMYFUNCTION("IMPORTRANGE(""https://docs.google.com/spreadsheets/d/1SX6NBoVAgQJ6U1MVXOaj8PK2l7WJ3RER9xtqwdhxkhw/edit?usp=sharing"",""นครนายก!I421"")"),0)</f>
        <v>0</v>
      </c>
      <c r="J526" s="284">
        <f ca="1">IFERROR(__xludf.DUMMYFUNCTION("IMPORTRANGE(""https://docs.google.com/spreadsheets/d/1SX6NBoVAgQJ6U1MVXOaj8PK2l7WJ3RER9xtqwdhxkhw/edit?usp=sharing"",""นครนายก!J421"")"),0)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IFERROR(__xludf.DUMMYFUNCTION("IMPORTRANGE(""https://docs.google.com/spreadsheets/d/1SX6NBoVAgQJ6U1MVXOaj8PK2l7WJ3RER9xtqwdhxkhw/edit?usp=sharing"",""นครนายก!I422"")"),0)</f>
        <v>0</v>
      </c>
      <c r="J527" s="199">
        <f ca="1">IFERROR(__xludf.DUMMYFUNCTION("IMPORTRANGE(""https://docs.google.com/spreadsheets/d/1SX6NBoVAgQJ6U1MVXOaj8PK2l7WJ3RER9xtqwdhxkhw/edit?usp=sharing"",""นครนายก!J422"")"),0)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IFERROR(__xludf.DUMMYFUNCTION("IMPORTRANGE(""https://docs.google.com/spreadsheets/d/1SX6NBoVAgQJ6U1MVXOaj8PK2l7WJ3RER9xtqwdhxkhw/edit?usp=sharing"",""นครนายก!I423"")"),0)</f>
        <v>0</v>
      </c>
      <c r="J528" s="199">
        <f ca="1">IFERROR(__xludf.DUMMYFUNCTION("IMPORTRANGE(""https://docs.google.com/spreadsheets/d/1SX6NBoVAgQJ6U1MVXOaj8PK2l7WJ3RER9xtqwdhxkhw/edit?usp=sharing"",""นครนายก!J423"")"),0)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IFERROR(__xludf.DUMMYFUNCTION("IMPORTRANGE(""https://docs.google.com/spreadsheets/d/1SX6NBoVAgQJ6U1MVXOaj8PK2l7WJ3RER9xtqwdhxkhw/edit?usp=sharing"",""นครนายก!I424"")"),0)</f>
        <v>0</v>
      </c>
      <c r="J529" s="199">
        <f ca="1">IFERROR(__xludf.DUMMYFUNCTION("IMPORTRANGE(""https://docs.google.com/spreadsheets/d/1SX6NBoVAgQJ6U1MVXOaj8PK2l7WJ3RER9xtqwdhxkhw/edit?usp=sharing"",""นครนายก!J424"")"),0)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IFERROR(__xludf.DUMMYFUNCTION("IMPORTRANGE(""https://docs.google.com/spreadsheets/d/1SX6NBoVAgQJ6U1MVXOaj8PK2l7WJ3RER9xtqwdhxkhw/edit?usp=sharing"",""นครนายก!I425"")"),0)</f>
        <v>0</v>
      </c>
      <c r="J530" s="199">
        <f ca="1">IFERROR(__xludf.DUMMYFUNCTION("IMPORTRANGE(""https://docs.google.com/spreadsheets/d/1SX6NBoVAgQJ6U1MVXOaj8PK2l7WJ3RER9xtqwdhxkhw/edit?usp=sharing"",""นครนายก!J425"")"),0)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IFERROR(__xludf.DUMMYFUNCTION("IMPORTRANGE(""https://docs.google.com/spreadsheets/d/1SX6NBoVAgQJ6U1MVXOaj8PK2l7WJ3RER9xtqwdhxkhw/edit?usp=sharing"",""นครนายก!I426"")"),0)</f>
        <v>0</v>
      </c>
      <c r="J531" s="199">
        <f ca="1">IFERROR(__xludf.DUMMYFUNCTION("IMPORTRANGE(""https://docs.google.com/spreadsheets/d/1SX6NBoVAgQJ6U1MVXOaj8PK2l7WJ3RER9xtqwdhxkhw/edit?usp=sharing"",""นครนายก!J426"")"),0)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IFERROR(__xludf.DUMMYFUNCTION("IMPORTRANGE(""https://docs.google.com/spreadsheets/d/1SX6NBoVAgQJ6U1MVXOaj8PK2l7WJ3RER9xtqwdhxkhw/edit?usp=sharing"",""นครนายก!M428"")"),7960)</f>
        <v>7960</v>
      </c>
      <c r="O533" s="412">
        <f t="shared" ref="O533:O537" ca="1" si="118">+IF(L533&gt;0,N533*100/L533,0)</f>
        <v>23.179965055329063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IFERROR(__xludf.DUMMYFUNCTION("IMPORTRANGE(""https://docs.google.com/spreadsheets/d/1SX6NBoVAgQJ6U1MVXOaj8PK2l7WJ3RER9xtqwdhxkhw/edit?usp=sharing"",""นครนายก!L429"")"),0)</f>
        <v>0</v>
      </c>
      <c r="M534" s="166"/>
      <c r="N534" s="170">
        <f ca="1">IFERROR(__xludf.DUMMYFUNCTION("IMPORTRANGE(""https://docs.google.com/spreadsheets/d/1SX6NBoVAgQJ6U1MVXOaj8PK2l7WJ3RER9xtqwdhxkhw/edit?usp=sharing"",""นครนายก!M429"")"),0)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IFERROR(__xludf.DUMMYFUNCTION("IMPORTRANGE(""https://docs.google.com/spreadsheets/d/1SX6NBoVAgQJ6U1MVXOaj8PK2l7WJ3RER9xtqwdhxkhw/edit?usp=sharing"",""นครนายก!L430"")"),34340)</f>
        <v>34340</v>
      </c>
      <c r="M535" s="167"/>
      <c r="N535" s="170">
        <f ca="1">IFERROR(__xludf.DUMMYFUNCTION("IMPORTRANGE(""https://docs.google.com/spreadsheets/d/1SX6NBoVAgQJ6U1MVXOaj8PK2l7WJ3RER9xtqwdhxkhw/edit?usp=sharing"",""นครนายก!M430"")"),7960)</f>
        <v>7960</v>
      </c>
      <c r="O535" s="170">
        <f t="shared" ca="1" si="118"/>
        <v>23.179965055329063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IFERROR(__xludf.DUMMYFUNCTION("IMPORTRANGE(""https://docs.google.com/spreadsheets/d/1SX6NBoVAgQJ6U1MVXOaj8PK2l7WJ3RER9xtqwdhxkhw/edit?usp=sharing"",""นครนายก!L431"")"),0)</f>
        <v>0</v>
      </c>
      <c r="M536" s="170"/>
      <c r="N536" s="170">
        <f ca="1">IFERROR(__xludf.DUMMYFUNCTION("IMPORTRANGE(""https://docs.google.com/spreadsheets/d/1SX6NBoVAgQJ6U1MVXOaj8PK2l7WJ3RER9xtqwdhxkhw/edit?usp=sharing"",""นครนายก!M431"")"),0)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IFERROR(__xludf.DUMMYFUNCTION("IMPORTRANGE(""https://docs.google.com/spreadsheets/d/1SX6NBoVAgQJ6U1MVXOaj8PK2l7WJ3RER9xtqwdhxkhw/edit?usp=sharing"",""นครนายก!L432"")"),34340)</f>
        <v>34340</v>
      </c>
      <c r="M537" s="170"/>
      <c r="N537" s="170">
        <f ca="1">IFERROR(__xludf.DUMMYFUNCTION("IMPORTRANGE(""https://docs.google.com/spreadsheets/d/1SX6NBoVAgQJ6U1MVXOaj8PK2l7WJ3RER9xtqwdhxkhw/edit?usp=sharing"",""นครนายก!M432"")"),7960)</f>
        <v>7960</v>
      </c>
      <c r="O537" s="170">
        <f t="shared" ca="1" si="118"/>
        <v>23.179965055329063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IFERROR(__xludf.DUMMYFUNCTION("IMPORTRANGE(""https://docs.google.com/spreadsheets/d/1SX6NBoVAgQJ6U1MVXOaj8PK2l7WJ3RER9xtqwdhxkhw/edit?usp=sharing"",""นครนายก!M433"")"),0)</f>
        <v>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IFERROR(__xludf.DUMMYFUNCTION("IMPORTRANGE(""https://docs.google.com/spreadsheets/d/1SX6NBoVAgQJ6U1MVXOaj8PK2l7WJ3RER9xtqwdhxkhw/edit?usp=sharing"",""นครนายก!M436"")"),7960)</f>
        <v>7960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IFERROR(__xludf.DUMMYFUNCTION("IMPORTRANGE(""https://docs.google.com/spreadsheets/d/1SX6NBoVAgQJ6U1MVXOaj8PK2l7WJ3RER9xtqwdhxkhw/edit?usp=sharing"",""นครนายก!J438"")"),0)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IFERROR(__xludf.DUMMYFUNCTION("IMPORTRANGE(""https://docs.google.com/spreadsheets/d/1SX6NBoVAgQJ6U1MVXOaj8PK2l7WJ3RER9xtqwdhxkhw/edit?usp=sharing"",""นครนายก!J439"")"),1)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IFERROR(__xludf.DUMMYFUNCTION("IMPORTRANGE(""https://docs.google.com/spreadsheets/d/1SX6NBoVAgQJ6U1MVXOaj8PK2l7WJ3RER9xtqwdhxkhw/edit?usp=sharing"",""นครนายก!J440"")"),0)</f>
        <v>0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IFERROR(__xludf.DUMMYFUNCTION("IMPORTRANGE(""https://docs.google.com/spreadsheets/d/1SX6NBoVAgQJ6U1MVXOaj8PK2l7WJ3RER9xtqwdhxkhw/edit?usp=sharing"",""นครนายก!J441"")"),0)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IFERROR(__xludf.DUMMYFUNCTION("IMPORTRANGE(""https://docs.google.com/spreadsheets/d/1SX6NBoVAgQJ6U1MVXOaj8PK2l7WJ3RER9xtqwdhxkhw/edit?usp=sharing"",""นครนายก!I442"")"),22)</f>
        <v>22</v>
      </c>
      <c r="J547" s="190">
        <f ca="1">IFERROR(__xludf.DUMMYFUNCTION("IMPORTRANGE(""https://docs.google.com/spreadsheets/d/1SX6NBoVAgQJ6U1MVXOaj8PK2l7WJ3RER9xtqwdhxkhw/edit?usp=sharing"",""นครนายก!J442"")"),0)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IFERROR(__xludf.DUMMYFUNCTION("IMPORTRANGE(""https://docs.google.com/spreadsheets/d/1SX6NBoVAgQJ6U1MVXOaj8PK2l7WJ3RER9xtqwdhxkhw/edit?usp=sharing"",""นครนายก!J166"")"),0)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IFERROR(__xludf.DUMMYFUNCTION("IMPORTRANGE(""https://docs.google.com/spreadsheets/d/1SX6NBoVAgQJ6U1MVXOaj8PK2l7WJ3RER9xtqwdhxkhw/edit?usp=sharing"",""นครนายก!J444"")"),0)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IFERROR(__xludf.DUMMYFUNCTION("IMPORTRANGE(""https://docs.google.com/spreadsheets/d/1SX6NBoVAgQJ6U1MVXOaj8PK2l7WJ3RER9xtqwdhxkhw/edit?usp=sharing"",""นครนายก!L447"")"),0)</f>
        <v>0</v>
      </c>
      <c r="M552" s="166"/>
      <c r="N552" s="170">
        <f ca="1">IFERROR(__xludf.DUMMYFUNCTION("IMPORTRANGE(""https://docs.google.com/spreadsheets/d/1SX6NBoVAgQJ6U1MVXOaj8PK2l7WJ3RER9xtqwdhxkhw/edit?usp=sharing"",""นครนายก!M447"")"),0)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IFERROR(__xludf.DUMMYFUNCTION("IMPORTRANGE(""https://docs.google.com/spreadsheets/d/1SX6NBoVAgQJ6U1MVXOaj8PK2l7WJ3RER9xtqwdhxkhw/edit?usp=sharing"",""นครนายก!L448"")"),0)</f>
        <v>0</v>
      </c>
      <c r="M553" s="167"/>
      <c r="N553" s="170">
        <f ca="1">IFERROR(__xludf.DUMMYFUNCTION("IMPORTRANGE(""https://docs.google.com/spreadsheets/d/1SX6NBoVAgQJ6U1MVXOaj8PK2l7WJ3RER9xtqwdhxkhw/edit?usp=sharing"",""นครนายก!M448"")"),0)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IFERROR(__xludf.DUMMYFUNCTION("IMPORTRANGE(""https://docs.google.com/spreadsheets/d/1SX6NBoVAgQJ6U1MVXOaj8PK2l7WJ3RER9xtqwdhxkhw/edit?usp=sharing"",""นครนายก!L449"")"),0)</f>
        <v>0</v>
      </c>
      <c r="M554" s="170"/>
      <c r="N554" s="170">
        <f ca="1">IFERROR(__xludf.DUMMYFUNCTION("IMPORTRANGE(""https://docs.google.com/spreadsheets/d/1SX6NBoVAgQJ6U1MVXOaj8PK2l7WJ3RER9xtqwdhxkhw/edit?usp=sharing"",""นครนายก!M449"")"),0)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IFERROR(__xludf.DUMMYFUNCTION("IMPORTRANGE(""https://docs.google.com/spreadsheets/d/1SX6NBoVAgQJ6U1MVXOaj8PK2l7WJ3RER9xtqwdhxkhw/edit?usp=sharing"",""นครนายก!L450"")"),0)</f>
        <v>0</v>
      </c>
      <c r="M555" s="170"/>
      <c r="N555" s="170">
        <f ca="1">IFERROR(__xludf.DUMMYFUNCTION("IMPORTRANGE(""https://docs.google.com/spreadsheets/d/1SX6NBoVAgQJ6U1MVXOaj8PK2l7WJ3RER9xtqwdhxkhw/edit?usp=sharing"",""นครนายก!M450"")"),0)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IFERROR(__xludf.DUMMYFUNCTION("IMPORTRANGE(""https://docs.google.com/spreadsheets/d/1SX6NBoVAgQJ6U1MVXOaj8PK2l7WJ3RER9xtqwdhxkhw/edit?usp=sharing"",""นครนายก!M451"")"),0)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IFERROR(__xludf.DUMMYFUNCTION("IMPORTRANGE(""https://docs.google.com/spreadsheets/d/1SX6NBoVAgQJ6U1MVXOaj8PK2l7WJ3RER9xtqwdhxkhw/edit?usp=sharing"",""นครนายก!M452"")"),0)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IFERROR(__xludf.DUMMYFUNCTION("IMPORTRANGE(""https://docs.google.com/spreadsheets/d/1SX6NBoVAgQJ6U1MVXOaj8PK2l7WJ3RER9xtqwdhxkhw/edit?usp=sharing"",""นครนายก!M453"")"),0)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IFERROR(__xludf.DUMMYFUNCTION("IMPORTRANGE(""https://docs.google.com/spreadsheets/d/1SX6NBoVAgQJ6U1MVXOaj8PK2l7WJ3RER9xtqwdhxkhw/edit?usp=sharing"",""นครนายก!M454"")"),0)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IFERROR(__xludf.DUMMYFUNCTION("IMPORTRANGE(""https://docs.google.com/spreadsheets/d/1SX6NBoVAgQJ6U1MVXOaj8PK2l7WJ3RER9xtqwdhxkhw/edit?usp=sharing"",""นครนายก!I455"")"),0)</f>
        <v>0</v>
      </c>
      <c r="J560" s="164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IFERROR(__xludf.DUMMYFUNCTION("IMPORTRANGE(""https://docs.google.com/spreadsheets/d/1SX6NBoVAgQJ6U1MVXOaj8PK2l7WJ3RER9xtqwdhxkhw/edit?usp=sharing"",""นครนายก!I456"")"),0)</f>
        <v>0</v>
      </c>
      <c r="J561" s="205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IFERROR(__xludf.DUMMYFUNCTION("IMPORTRANGE(""https://docs.google.com/spreadsheets/d/1SX6NBoVAgQJ6U1MVXOaj8PK2l7WJ3RER9xtqwdhxkhw/edit?usp=sharing"",""นครนายก!I457"")"),0)</f>
        <v>0</v>
      </c>
      <c r="J562" s="205" t="str">
        <f ca="1">IFERROR(__xludf.DUMMYFUNCTION("IMPORTRANGE(""https://docs.google.com/spreadsheets/d/1SX6NBoVAgQJ6U1MVXOaj8PK2l7WJ3RER9xtqwdhxkhw/edit?usp=sharing"",""นครนายก!J457"")"),"")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IFERROR(__xludf.DUMMYFUNCTION("IMPORTRANGE(""https://docs.google.com/spreadsheets/d/1SX6NBoVAgQJ6U1MVXOaj8PK2l7WJ3RER9xtqwdhxkhw/edit?usp=sharing"",""นครนายก!I458"")"),0)</f>
        <v>0</v>
      </c>
      <c r="J563" s="189" t="str">
        <f ca="1">IFERROR(__xludf.DUMMYFUNCTION("IMPORTRANGE(""https://docs.google.com/spreadsheets/d/1SX6NBoVAgQJ6U1MVXOaj8PK2l7WJ3RER9xtqwdhxkhw/edit?usp=sharing"",""นครนายก!J458"")"),"")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IFERROR(__xludf.DUMMYFUNCTION("IMPORTRANGE(""https://docs.google.com/spreadsheets/d/1SX6NBoVAgQJ6U1MVXOaj8PK2l7WJ3RER9xtqwdhxkhw/edit?usp=sharing"",""นครนายก!J459"")"),463)</f>
        <v>463</v>
      </c>
      <c r="K564" s="372">
        <f t="shared" ca="1" si="121"/>
        <v>308.66666666666669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IFERROR(__xludf.DUMMYFUNCTION("IMPORTRANGE(""https://docs.google.com/spreadsheets/d/1SX6NBoVAgQJ6U1MVXOaj8PK2l7WJ3RER9xtqwdhxkhw/edit?usp=sharing"",""นครนายก!L460"")"),0)</f>
        <v>0</v>
      </c>
      <c r="M565" s="166"/>
      <c r="N565" s="170">
        <f ca="1">IFERROR(__xludf.DUMMYFUNCTION("IMPORTRANGE(""https://docs.google.com/spreadsheets/d/1SX6NBoVAgQJ6U1MVXOaj8PK2l7WJ3RER9xtqwdhxkhw/edit?usp=sharing"",""นครนายก!M460"")"),0)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IFERROR(__xludf.DUMMYFUNCTION("IMPORTRANGE(""https://docs.google.com/spreadsheets/d/1SX6NBoVAgQJ6U1MVXOaj8PK2l7WJ3RER9xtqwdhxkhw/edit?usp=sharing"",""นครนายก!L461"")"),119520)</f>
        <v>119520</v>
      </c>
      <c r="M566" s="167"/>
      <c r="N566" s="170">
        <f ca="1">IFERROR(__xludf.DUMMYFUNCTION("IMPORTRANGE(""https://docs.google.com/spreadsheets/d/1SX6NBoVAgQJ6U1MVXOaj8PK2l7WJ3RER9xtqwdhxkhw/edit?usp=sharing"",""นครนายก!M461"")"),37080)</f>
        <v>37080</v>
      </c>
      <c r="O566" s="170">
        <f t="shared" ca="1" si="122"/>
        <v>31.024096385542169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IFERROR(__xludf.DUMMYFUNCTION("IMPORTRANGE(""https://docs.google.com/spreadsheets/d/1SX6NBoVAgQJ6U1MVXOaj8PK2l7WJ3RER9xtqwdhxkhw/edit?usp=sharing"",""นครนายก!L462"")"),0)</f>
        <v>0</v>
      </c>
      <c r="M567" s="170"/>
      <c r="N567" s="170">
        <f ca="1">IFERROR(__xludf.DUMMYFUNCTION("IMPORTRANGE(""https://docs.google.com/spreadsheets/d/1SX6NBoVAgQJ6U1MVXOaj8PK2l7WJ3RER9xtqwdhxkhw/edit?usp=sharing"",""นครนายก!M462"")"),0)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IFERROR(__xludf.DUMMYFUNCTION("IMPORTRANGE(""https://docs.google.com/spreadsheets/d/1SX6NBoVAgQJ6U1MVXOaj8PK2l7WJ3RER9xtqwdhxkhw/edit?usp=sharing"",""นครนายก!L463"")"),119520)</f>
        <v>119520</v>
      </c>
      <c r="M568" s="170"/>
      <c r="N568" s="170">
        <f ca="1">IFERROR(__xludf.DUMMYFUNCTION("IMPORTRANGE(""https://docs.google.com/spreadsheets/d/1SX6NBoVAgQJ6U1MVXOaj8PK2l7WJ3RER9xtqwdhxkhw/edit?usp=sharing"",""นครนายก!M463"")"),37080)</f>
        <v>37080</v>
      </c>
      <c r="O568" s="170">
        <f t="shared" ca="1" si="122"/>
        <v>31.024096385542169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IFERROR(__xludf.DUMMYFUNCTION("IMPORTRANGE(""https://docs.google.com/spreadsheets/d/1SX6NBoVAgQJ6U1MVXOaj8PK2l7WJ3RER9xtqwdhxkhw/edit?usp=sharing"",""นครนายก!M464"")"),0)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IFERROR(__xludf.DUMMYFUNCTION("IMPORTRANGE(""https://docs.google.com/spreadsheets/d/1SX6NBoVAgQJ6U1MVXOaj8PK2l7WJ3RER9xtqwdhxkhw/edit?usp=sharing"",""นครนายก!M465"")"),0)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IFERROR(__xludf.DUMMYFUNCTION("IMPORTRANGE(""https://docs.google.com/spreadsheets/d/1SX6NBoVAgQJ6U1MVXOaj8PK2l7WJ3RER9xtqwdhxkhw/edit?usp=sharing"",""นครนายก!J468"")"),463)</f>
        <v>463</v>
      </c>
      <c r="K573" s="203">
        <f ca="1">IF(I573&gt;0,J573*100/I573,0)</f>
        <v>308.66666666666669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IFERROR(__xludf.DUMMYFUNCTION("IMPORTRANGE(""https://docs.google.com/spreadsheets/d/1SX6NBoVAgQJ6U1MVXOaj8PK2l7WJ3RER9xtqwdhxkhw/edit?usp=sharing"",""นครนายก!I470"")"),0)</f>
        <v>0</v>
      </c>
      <c r="J575" s="199">
        <f ca="1">IFERROR(__xludf.DUMMYFUNCTION("IMPORTRANGE(""https://docs.google.com/spreadsheets/d/1SX6NBoVAgQJ6U1MVXOaj8PK2l7WJ3RER9xtqwdhxkhw/edit?usp=sharing"",""นครนายก!J470"")"),3)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IFERROR(__xludf.DUMMYFUNCTION("IMPORTRANGE(""https://docs.google.com/spreadsheets/d/1SX6NBoVAgQJ6U1MVXOaj8PK2l7WJ3RER9xtqwdhxkhw/edit?usp=sharing"",""นครนายก!I471"")"),0)</f>
        <v>0</v>
      </c>
      <c r="J576" s="199">
        <f ca="1">IFERROR(__xludf.DUMMYFUNCTION("IMPORTRANGE(""https://docs.google.com/spreadsheets/d/1SX6NBoVAgQJ6U1MVXOaj8PK2l7WJ3RER9xtqwdhxkhw/edit?usp=sharing"",""นครนายก!J471"")"),92)</f>
        <v>92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IFERROR(__xludf.DUMMYFUNCTION("IMPORTRANGE(""https://docs.google.com/spreadsheets/d/1SX6NBoVAgQJ6U1MVXOaj8PK2l7WJ3RER9xtqwdhxkhw/edit?usp=sharing"",""นครนายก!I472"")"),0)</f>
        <v>0</v>
      </c>
      <c r="J577" s="190">
        <f ca="1">IFERROR(__xludf.DUMMYFUNCTION("IMPORTRANGE(""https://docs.google.com/spreadsheets/d/1SX6NBoVAgQJ6U1MVXOaj8PK2l7WJ3RER9xtqwdhxkhw/edit?usp=sharing"",""นครนายก!J472"")"),371)</f>
        <v>371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IFERROR(__xludf.DUMMYFUNCTION("IMPORTRANGE(""https://docs.google.com/spreadsheets/d/1SX6NBoVAgQJ6U1MVXOaj8PK2l7WJ3RER9xtqwdhxkhw/edit?usp=sharing"",""นครนายก!I473"")"),0)</f>
        <v>0</v>
      </c>
      <c r="J578" s="199">
        <f ca="1">IFERROR(__xludf.DUMMYFUNCTION("IMPORTRANGE(""https://docs.google.com/spreadsheets/d/1SX6NBoVAgQJ6U1MVXOaj8PK2l7WJ3RER9xtqwdhxkhw/edit?usp=sharing"",""นครนายก!J473"")"),0)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IFERROR(__xludf.DUMMYFUNCTION("IMPORTRANGE(""https://docs.google.com/spreadsheets/d/1SX6NBoVAgQJ6U1MVXOaj8PK2l7WJ3RER9xtqwdhxkhw/edit?usp=sharing"",""นครนายก!I474"")"),0)</f>
        <v>0</v>
      </c>
      <c r="J579" s="199">
        <f ca="1">IFERROR(__xludf.DUMMYFUNCTION("IMPORTRANGE(""https://docs.google.com/spreadsheets/d/1SX6NBoVAgQJ6U1MVXOaj8PK2l7WJ3RER9xtqwdhxkhw/edit?usp=sharing"",""นครนายก!J474"")"),0)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IFERROR(__xludf.DUMMYFUNCTION("IMPORTRANGE(""https://docs.google.com/spreadsheets/d/1SX6NBoVAgQJ6U1MVXOaj8PK2l7WJ3RER9xtqwdhxkhw/edit?usp=sharing"",""นครนายก!L476"")"),0)</f>
        <v>0</v>
      </c>
      <c r="M581" s="166"/>
      <c r="N581" s="170">
        <f ca="1">IFERROR(__xludf.DUMMYFUNCTION("IMPORTRANGE(""https://docs.google.com/spreadsheets/d/1SX6NBoVAgQJ6U1MVXOaj8PK2l7WJ3RER9xtqwdhxkhw/edit?usp=sharing"",""นครนายก!M476"")"),0)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IFERROR(__xludf.DUMMYFUNCTION("IMPORTRANGE(""https://docs.google.com/spreadsheets/d/1SX6NBoVAgQJ6U1MVXOaj8PK2l7WJ3RER9xtqwdhxkhw/edit?usp=sharing"",""นครนายก!L477"")"),0)</f>
        <v>0</v>
      </c>
      <c r="M582" s="167"/>
      <c r="N582" s="170">
        <f ca="1">IFERROR(__xludf.DUMMYFUNCTION("IMPORTRANGE(""https://docs.google.com/spreadsheets/d/1SX6NBoVAgQJ6U1MVXOaj8PK2l7WJ3RER9xtqwdhxkhw/edit?usp=sharing"",""นครนายก!M477"")"),0)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IFERROR(__xludf.DUMMYFUNCTION("IMPORTRANGE(""https://docs.google.com/spreadsheets/d/1SX6NBoVAgQJ6U1MVXOaj8PK2l7WJ3RER9xtqwdhxkhw/edit?usp=sharing"",""นครนายก!L478"")"),0)</f>
        <v>0</v>
      </c>
      <c r="M583" s="170"/>
      <c r="N583" s="170">
        <f ca="1">IFERROR(__xludf.DUMMYFUNCTION("IMPORTRANGE(""https://docs.google.com/spreadsheets/d/1SX6NBoVAgQJ6U1MVXOaj8PK2l7WJ3RER9xtqwdhxkhw/edit?usp=sharing"",""นครนายก!M478"")"),0)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IFERROR(__xludf.DUMMYFUNCTION("IMPORTRANGE(""https://docs.google.com/spreadsheets/d/1SX6NBoVAgQJ6U1MVXOaj8PK2l7WJ3RER9xtqwdhxkhw/edit?usp=sharing"",""นครนายก!L479"")"),0)</f>
        <v>0</v>
      </c>
      <c r="M584" s="170"/>
      <c r="N584" s="170">
        <f ca="1">IFERROR(__xludf.DUMMYFUNCTION("IMPORTRANGE(""https://docs.google.com/spreadsheets/d/1SX6NBoVAgQJ6U1MVXOaj8PK2l7WJ3RER9xtqwdhxkhw/edit?usp=sharing"",""นครนายก!M479"")"),0)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IFERROR(__xludf.DUMMYFUNCTION("IMPORTRANGE(""https://docs.google.com/spreadsheets/d/1SX6NBoVAgQJ6U1MVXOaj8PK2l7WJ3RER9xtqwdhxkhw/edit?usp=sharing"",""นครนายก!M480"")"),0)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IFERROR(__xludf.DUMMYFUNCTION("IMPORTRANGE(""https://docs.google.com/spreadsheets/d/1SX6NBoVAgQJ6U1MVXOaj8PK2l7WJ3RER9xtqwdhxkhw/edit?usp=sharing"",""นครนายก!M481"")"),0)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IFERROR(__xludf.DUMMYFUNCTION("IMPORTRANGE(""https://docs.google.com/spreadsheets/d/1SX6NBoVAgQJ6U1MVXOaj8PK2l7WJ3RER9xtqwdhxkhw/edit?usp=sharing"",""นครนายก!M482"")"),0)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IFERROR(__xludf.DUMMYFUNCTION("IMPORTRANGE(""https://docs.google.com/spreadsheets/d/1SX6NBoVAgQJ6U1MVXOaj8PK2l7WJ3RER9xtqwdhxkhw/edit?usp=sharing"",""นครนายก!M483"")"),0)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IFERROR(__xludf.DUMMYFUNCTION("IMPORTRANGE(""https://docs.google.com/spreadsheets/d/1SX6NBoVAgQJ6U1MVXOaj8PK2l7WJ3RER9xtqwdhxkhw/edit?usp=sharing"",""นครนายก!I484"")"),0)</f>
        <v>0</v>
      </c>
      <c r="J589" s="189">
        <f ca="1">IFERROR(__xludf.DUMMYFUNCTION("IMPORTRANGE(""https://docs.google.com/spreadsheets/d/1SX6NBoVAgQJ6U1MVXOaj8PK2l7WJ3RER9xtqwdhxkhw/edit?usp=sharing"",""นครนายก!J484"")"),0)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9">
        <f ca="1">IFERROR(__xludf.DUMMYFUNCTION("IMPORTRANGE(""https://docs.google.com/spreadsheets/d/1SX6NBoVAgQJ6U1MVXOaj8PK2l7WJ3RER9xtqwdhxkhw/edit?usp=sharing"",""นครนายก!J485"")"),0)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IFERROR(__xludf.DUMMYFUNCTION("IMPORTRANGE(""https://docs.google.com/spreadsheets/d/1SX6NBoVAgQJ6U1MVXOaj8PK2l7WJ3RER9xtqwdhxkhw/edit?usp=sharing"",""นครนายก!I486"")"),0)</f>
        <v>0</v>
      </c>
      <c r="J591" s="189">
        <f ca="1">IFERROR(__xludf.DUMMYFUNCTION("IMPORTRANGE(""https://docs.google.com/spreadsheets/d/1SX6NBoVAgQJ6U1MVXOaj8PK2l7WJ3RER9xtqwdhxkhw/edit?usp=sharing"",""นครนายก!J486"")"),0)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9">
        <f ca="1">IFERROR(__xludf.DUMMYFUNCTION("IMPORTRANGE(""https://docs.google.com/spreadsheets/d/1SX6NBoVAgQJ6U1MVXOaj8PK2l7WJ3RER9xtqwdhxkhw/edit?usp=sharing"",""นครนายก!J487"")"),0)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IFERROR(__xludf.DUMMYFUNCTION("IMPORTRANGE(""https://docs.google.com/spreadsheets/d/1SX6NBoVAgQJ6U1MVXOaj8PK2l7WJ3RER9xtqwdhxkhw/edit?usp=sharing"",""นครนายก!I488"")"),0)</f>
        <v>0</v>
      </c>
      <c r="J593" s="189">
        <f ca="1">IFERROR(__xludf.DUMMYFUNCTION("IMPORTRANGE(""https://docs.google.com/spreadsheets/d/1SX6NBoVAgQJ6U1MVXOaj8PK2l7WJ3RER9xtqwdhxkhw/edit?usp=sharing"",""นครนายก!J488"")"),0)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9">
        <f ca="1">IFERROR(__xludf.DUMMYFUNCTION("IMPORTRANGE(""https://docs.google.com/spreadsheets/d/1SX6NBoVAgQJ6U1MVXOaj8PK2l7WJ3RER9xtqwdhxkhw/edit?usp=sharing"",""นครนายก!J489"")"),0)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IFERROR(__xludf.DUMMYFUNCTION("IMPORTRANGE(""https://docs.google.com/spreadsheets/d/1SX6NBoVAgQJ6U1MVXOaj8PK2l7WJ3RER9xtqwdhxkhw/edit?usp=sharing"",""นครนายก!I490"")"),0)</f>
        <v>0</v>
      </c>
      <c r="J595" s="189">
        <f ca="1">IFERROR(__xludf.DUMMYFUNCTION("IMPORTRANGE(""https://docs.google.com/spreadsheets/d/1SX6NBoVAgQJ6U1MVXOaj8PK2l7WJ3RER9xtqwdhxkhw/edit?usp=sharing"",""นครนายก!J490"")"),0)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7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IFERROR(__xludf.DUMMYFUNCTION("IMPORTRANGE(""https://docs.google.com/spreadsheets/d/1SX6NBoVAgQJ6U1MVXOaj8PK2l7WJ3RER9xtqwdhxkhw/edit?usp=sharing"",""นครนายก!L493"")"),0)</f>
        <v>0</v>
      </c>
      <c r="M598" s="166"/>
      <c r="N598" s="170">
        <f ca="1">IFERROR(__xludf.DUMMYFUNCTION("IMPORTRANGE(""https://docs.google.com/spreadsheets/d/1SX6NBoVAgQJ6U1MVXOaj8PK2l7WJ3RER9xtqwdhxkhw/edit?usp=sharing"",""นครนายก!M493"")"),0)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IFERROR(__xludf.DUMMYFUNCTION("IMPORTRANGE(""https://docs.google.com/spreadsheets/d/1SX6NBoVAgQJ6U1MVXOaj8PK2l7WJ3RER9xtqwdhxkhw/edit?usp=sharing"",""นครนายก!L494"")"),6950)</f>
        <v>6950</v>
      </c>
      <c r="M599" s="167"/>
      <c r="N599" s="170">
        <f ca="1">IFERROR(__xludf.DUMMYFUNCTION("IMPORTRANGE(""https://docs.google.com/spreadsheets/d/1SX6NBoVAgQJ6U1MVXOaj8PK2l7WJ3RER9xtqwdhxkhw/edit?usp=sharing"",""นครนายก!M494"")"),0)</f>
        <v>0</v>
      </c>
      <c r="O599" s="170">
        <f t="shared" ca="1" si="126"/>
        <v>0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IFERROR(__xludf.DUMMYFUNCTION("IMPORTRANGE(""https://docs.google.com/spreadsheets/d/1SX6NBoVAgQJ6U1MVXOaj8PK2l7WJ3RER9xtqwdhxkhw/edit?usp=sharing"",""นครนายก!L495"")"),0)</f>
        <v>0</v>
      </c>
      <c r="M600" s="170"/>
      <c r="N600" s="170">
        <f ca="1">IFERROR(__xludf.DUMMYFUNCTION("IMPORTRANGE(""https://docs.google.com/spreadsheets/d/1SX6NBoVAgQJ6U1MVXOaj8PK2l7WJ3RER9xtqwdhxkhw/edit?usp=sharing"",""นครนายก!M495"")"),0)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IFERROR(__xludf.DUMMYFUNCTION("IMPORTRANGE(""https://docs.google.com/spreadsheets/d/1SX6NBoVAgQJ6U1MVXOaj8PK2l7WJ3RER9xtqwdhxkhw/edit?usp=sharing"",""นครนายก!L496"")"),6950)</f>
        <v>6950</v>
      </c>
      <c r="M601" s="170"/>
      <c r="N601" s="170">
        <f ca="1">IFERROR(__xludf.DUMMYFUNCTION("IMPORTRANGE(""https://docs.google.com/spreadsheets/d/1SX6NBoVAgQJ6U1MVXOaj8PK2l7WJ3RER9xtqwdhxkhw/edit?usp=sharing"",""นครนายก!M496"")"),0)</f>
        <v>0</v>
      </c>
      <c r="O601" s="170">
        <f t="shared" ca="1" si="126"/>
        <v>0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IFERROR(__xludf.DUMMYFUNCTION("IMPORTRANGE(""https://docs.google.com/spreadsheets/d/1SX6NBoVAgQJ6U1MVXOaj8PK2l7WJ3RER9xtqwdhxkhw/edit?usp=sharing"",""นครนายก!M497"")"),0)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IFERROR(__xludf.DUMMYFUNCTION("IMPORTRANGE(""https://docs.google.com/spreadsheets/d/1SX6NBoVAgQJ6U1MVXOaj8PK2l7WJ3RER9xtqwdhxkhw/edit?usp=sharing"",""นครนายก!M498"")"),0)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IFERROR(__xludf.DUMMYFUNCTION("IMPORTRANGE(""https://docs.google.com/spreadsheets/d/1SX6NBoVAgQJ6U1MVXOaj8PK2l7WJ3RER9xtqwdhxkhw/edit?usp=sharing"",""นครนายก!J502"")"),0)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IFERROR(__xludf.DUMMYFUNCTION("IMPORTRANGE(""https://docs.google.com/spreadsheets/d/1SX6NBoVAgQJ6U1MVXOaj8PK2l7WJ3RER9xtqwdhxkhw/edit?usp=sharing"",""นครนายก!J503"")"),0)</f>
        <v>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IFERROR(__xludf.DUMMYFUNCTION("IMPORTRANGE(""https://docs.google.com/spreadsheets/d/1SX6NBoVAgQJ6U1MVXOaj8PK2l7WJ3RER9xtqwdhxkhw/edit?usp=sharing"",""นครนายก!I506"")"),50)</f>
        <v>50</v>
      </c>
      <c r="J611" s="164">
        <f ca="1">IFERROR(__xludf.DUMMYFUNCTION("IMPORTRANGE(""https://docs.google.com/spreadsheets/d/1SX6NBoVAgQJ6U1MVXOaj8PK2l7WJ3RER9xtqwdhxkhw/edit?usp=sharing"",""นครนายก!J506"")"),0)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IFERROR(__xludf.DUMMYFUNCTION("IMPORTRANGE(""https://docs.google.com/spreadsheets/d/1SX6NBoVAgQJ6U1MVXOaj8PK2l7WJ3RER9xtqwdhxkhw/edit?usp=sharing"",""นครนายก!I507"")"),0)</f>
        <v>0</v>
      </c>
      <c r="J612" s="199">
        <f ca="1">IFERROR(__xludf.DUMMYFUNCTION("IMPORTRANGE(""https://docs.google.com/spreadsheets/d/1SX6NBoVAgQJ6U1MVXOaj8PK2l7WJ3RER9xtqwdhxkhw/edit?usp=sharing"",""นครนายก!J507"")"),0)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IFERROR(__xludf.DUMMYFUNCTION("IMPORTRANGE(""https://docs.google.com/spreadsheets/d/1SX6NBoVAgQJ6U1MVXOaj8PK2l7WJ3RER9xtqwdhxkhw/edit?usp=sharing"",""นครนายก!I508"")"),0)</f>
        <v>0</v>
      </c>
      <c r="J613" s="199">
        <f ca="1">IFERROR(__xludf.DUMMYFUNCTION("IMPORTRANGE(""https://docs.google.com/spreadsheets/d/1SX6NBoVAgQJ6U1MVXOaj8PK2l7WJ3RER9xtqwdhxkhw/edit?usp=sharing"",""นครนายก!J508"")"),0)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IFERROR(__xludf.DUMMYFUNCTION("IMPORTRANGE(""https://docs.google.com/spreadsheets/d/1SX6NBoVAgQJ6U1MVXOaj8PK2l7WJ3RER9xtqwdhxkhw/edit?usp=sharing"",""นครนายก!I509"")"),0)</f>
        <v>0</v>
      </c>
      <c r="J614" s="199">
        <f ca="1">IFERROR(__xludf.DUMMYFUNCTION("IMPORTRANGE(""https://docs.google.com/spreadsheets/d/1SX6NBoVAgQJ6U1MVXOaj8PK2l7WJ3RER9xtqwdhxkhw/edit?usp=sharing"",""นครนายก!J509"")"),0)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IFERROR(__xludf.DUMMYFUNCTION("IMPORTRANGE(""https://docs.google.com/spreadsheets/d/1SX6NBoVAgQJ6U1MVXOaj8PK2l7WJ3RER9xtqwdhxkhw/edit?usp=sharing"",""นครนายก!I510"")"),0)</f>
        <v>0</v>
      </c>
      <c r="J615" s="199">
        <f ca="1">IFERROR(__xludf.DUMMYFUNCTION("IMPORTRANGE(""https://docs.google.com/spreadsheets/d/1SX6NBoVAgQJ6U1MVXOaj8PK2l7WJ3RER9xtqwdhxkhw/edit?usp=sharing"",""นครนายก!J510"")"),0)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IFERROR(__xludf.DUMMYFUNCTION("IMPORTRANGE(""https://docs.google.com/spreadsheets/d/1SX6NBoVAgQJ6U1MVXOaj8PK2l7WJ3RER9xtqwdhxkhw/edit?usp=sharing"",""นครนายก!I511"")"),0)</f>
        <v>0</v>
      </c>
      <c r="J616" s="199">
        <f ca="1">IFERROR(__xludf.DUMMYFUNCTION("IMPORTRANGE(""https://docs.google.com/spreadsheets/d/1SX6NBoVAgQJ6U1MVXOaj8PK2l7WJ3RER9xtqwdhxkhw/edit?usp=sharing"",""นครนายก!J511"")"),0)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IFERROR(__xludf.DUMMYFUNCTION("IMPORTRANGE(""https://docs.google.com/spreadsheets/d/1SX6NBoVAgQJ6U1MVXOaj8PK2l7WJ3RER9xtqwdhxkhw/edit?usp=sharing"",""นครนายก!I512"")"),0)</f>
        <v>0</v>
      </c>
      <c r="J617" s="189">
        <f ca="1">IFERROR(__xludf.DUMMYFUNCTION("IMPORTRANGE(""https://docs.google.com/spreadsheets/d/1SX6NBoVAgQJ6U1MVXOaj8PK2l7WJ3RER9xtqwdhxkhw/edit?usp=sharing"",""นครนายก!J512"")"),0)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IFERROR(__xludf.DUMMYFUNCTION("IMPORTRANGE(""https://docs.google.com/spreadsheets/d/1SX6NBoVAgQJ6U1MVXOaj8PK2l7WJ3RER9xtqwdhxkhw/edit?usp=sharing"",""นครนายก!I513"")"),0)</f>
        <v>0</v>
      </c>
      <c r="J618" s="190">
        <f ca="1">IFERROR(__xludf.DUMMYFUNCTION("IMPORTRANGE(""https://docs.google.com/spreadsheets/d/1SX6NBoVAgQJ6U1MVXOaj8PK2l7WJ3RER9xtqwdhxkhw/edit?usp=sharing"",""นครนายก!J513"")"),0)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IFERROR(__xludf.DUMMYFUNCTION("IMPORTRANGE(""https://docs.google.com/spreadsheets/d/1SX6NBoVAgQJ6U1MVXOaj8PK2l7WJ3RER9xtqwdhxkhw/edit?usp=sharing"",""นครนายก!I514"")"),0)</f>
        <v>0</v>
      </c>
      <c r="J619" s="190">
        <f ca="1">IFERROR(__xludf.DUMMYFUNCTION("IMPORTRANGE(""https://docs.google.com/spreadsheets/d/1SX6NBoVAgQJ6U1MVXOaj8PK2l7WJ3RER9xtqwdhxkhw/edit?usp=sharing"",""นครนายก!J514"")"),0)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IFERROR(__xludf.DUMMYFUNCTION("IMPORTRANGE(""https://docs.google.com/spreadsheets/d/1SX6NBoVAgQJ6U1MVXOaj8PK2l7WJ3RER9xtqwdhxkhw/edit?usp=sharing"",""นครนายก!I515"")"),0)</f>
        <v>0</v>
      </c>
      <c r="J620" s="204">
        <f ca="1">IFERROR(__xludf.DUMMYFUNCTION("IMPORTRANGE(""https://docs.google.com/spreadsheets/d/1SX6NBoVAgQJ6U1MVXOaj8PK2l7WJ3RER9xtqwdhxkhw/edit?usp=sharing"",""นครนายก!J515"")"),0)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IFERROR(__xludf.DUMMYFUNCTION("IMPORTRANGE(""https://docs.google.com/spreadsheets/d/1SX6NBoVAgQJ6U1MVXOaj8PK2l7WJ3RER9xtqwdhxkhw/edit?usp=sharing"",""นครนายก!I516"")"),0)</f>
        <v>0</v>
      </c>
      <c r="J621" s="204">
        <f ca="1">IFERROR(__xludf.DUMMYFUNCTION("IMPORTRANGE(""https://docs.google.com/spreadsheets/d/1SX6NBoVAgQJ6U1MVXOaj8PK2l7WJ3RER9xtqwdhxkhw/edit?usp=sharing"",""นครนายก!J516"")"),0)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IFERROR(__xludf.DUMMYFUNCTION("IMPORTRANGE(""https://docs.google.com/spreadsheets/d/1SX6NBoVAgQJ6U1MVXOaj8PK2l7WJ3RER9xtqwdhxkhw/edit?usp=sharing"",""นครนายก!I517"")"),0)</f>
        <v>0</v>
      </c>
      <c r="J622" s="190">
        <f ca="1">IFERROR(__xludf.DUMMYFUNCTION("IMPORTRANGE(""https://docs.google.com/spreadsheets/d/1SX6NBoVAgQJ6U1MVXOaj8PK2l7WJ3RER9xtqwdhxkhw/edit?usp=sharing"",""นครนายก!J517"")"),0)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IFERROR(__xludf.DUMMYFUNCTION("IMPORTRANGE(""https://docs.google.com/spreadsheets/d/1SX6NBoVAgQJ6U1MVXOaj8PK2l7WJ3RER9xtqwdhxkhw/edit?usp=sharing"",""นครนายก!I518"")"),0)</f>
        <v>0</v>
      </c>
      <c r="J623" s="190">
        <f ca="1">IFERROR(__xludf.DUMMYFUNCTION("IMPORTRANGE(""https://docs.google.com/spreadsheets/d/1SX6NBoVAgQJ6U1MVXOaj8PK2l7WJ3RER9xtqwdhxkhw/edit?usp=sharing"",""นครนายก!J518"")"),0)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IFERROR(__xludf.DUMMYFUNCTION("IMPORTRANGE(""https://docs.google.com/spreadsheets/d/1SX6NBoVAgQJ6U1MVXOaj8PK2l7WJ3RER9xtqwdhxkhw/edit?usp=sharing"",""นครนายก!I519"")"),0)</f>
        <v>0</v>
      </c>
      <c r="J624" s="189">
        <f ca="1">IFERROR(__xludf.DUMMYFUNCTION("IMPORTRANGE(""https://docs.google.com/spreadsheets/d/1SX6NBoVAgQJ6U1MVXOaj8PK2l7WJ3RER9xtqwdhxkhw/edit?usp=sharing"",""นครนายก!J519"")"),0)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IFERROR(__xludf.DUMMYFUNCTION("IMPORTRANGE(""https://docs.google.com/spreadsheets/d/1SX6NBoVAgQJ6U1MVXOaj8PK2l7WJ3RER9xtqwdhxkhw/edit?usp=sharing"",""นครนายก!I520"")"),0)</f>
        <v>0</v>
      </c>
      <c r="J625" s="190">
        <f ca="1">IFERROR(__xludf.DUMMYFUNCTION("IMPORTRANGE(""https://docs.google.com/spreadsheets/d/1SX6NBoVAgQJ6U1MVXOaj8PK2l7WJ3RER9xtqwdhxkhw/edit?usp=sharing"",""นครนายก!J520"")"),0)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IFERROR(__xludf.DUMMYFUNCTION("IMPORTRANGE(""https://docs.google.com/spreadsheets/d/1SX6NBoVAgQJ6U1MVXOaj8PK2l7WJ3RER9xtqwdhxkhw/edit?usp=sharing"",""นครนายก!I521"")"),0)</f>
        <v>0</v>
      </c>
      <c r="J626" s="190">
        <f ca="1">IFERROR(__xludf.DUMMYFUNCTION("IMPORTRANGE(""https://docs.google.com/spreadsheets/d/1SX6NBoVAgQJ6U1MVXOaj8PK2l7WJ3RER9xtqwdhxkhw/edit?usp=sharing"",""นครนายก!J521"")"),0)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IFERROR(__xludf.DUMMYFUNCTION("IMPORTRANGE(""https://docs.google.com/spreadsheets/d/1SX6NBoVAgQJ6U1MVXOaj8PK2l7WJ3RER9xtqwdhxkhw/edit?usp=sharing"",""นครนายก!I523"")"),3031999.6)</f>
        <v>3031999.6</v>
      </c>
      <c r="J628" s="341">
        <f ca="1">IFERROR(__xludf.DUMMYFUNCTION("IMPORTRANGE(""https://docs.google.com/spreadsheets/d/1SX6NBoVAgQJ6U1MVXOaj8PK2l7WJ3RER9xtqwdhxkhw/edit?usp=sharing"",""นครนายก!J523"")"),1325912.75)</f>
        <v>1325912.75</v>
      </c>
      <c r="K628" s="342">
        <f t="shared" ref="K628:K635" ca="1" si="129">IF(I628&gt;0,J628*100/I628,0)</f>
        <v>43.730637365519442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IFERROR(__xludf.DUMMYFUNCTION("IMPORTRANGE(""https://docs.google.com/spreadsheets/d/1SX6NBoVAgQJ6U1MVXOaj8PK2l7WJ3RER9xtqwdhxkhw/edit?usp=sharing"",""นครนายก!I524"")"),113)</f>
        <v>113</v>
      </c>
      <c r="J629" s="341">
        <f ca="1">IFERROR(__xludf.DUMMYFUNCTION("IMPORTRANGE(""https://docs.google.com/spreadsheets/d/1SX6NBoVAgQJ6U1MVXOaj8PK2l7WJ3RER9xtqwdhxkhw/edit?usp=sharing"",""นครนายก!J524"")"),49)</f>
        <v>49</v>
      </c>
      <c r="K629" s="342">
        <f t="shared" ca="1" si="129"/>
        <v>43.362831858407077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IFERROR(__xludf.DUMMYFUNCTION("IMPORTRANGE(""https://docs.google.com/spreadsheets/d/1SX6NBoVAgQJ6U1MVXOaj8PK2l7WJ3RER9xtqwdhxkhw/edit?usp=sharing"",""นครนายก!I525"")"),3755607.57)</f>
        <v>3755607.57</v>
      </c>
      <c r="J630" s="341">
        <f ca="1">IFERROR(__xludf.DUMMYFUNCTION("IMPORTRANGE(""https://docs.google.com/spreadsheets/d/1SX6NBoVAgQJ6U1MVXOaj8PK2l7WJ3RER9xtqwdhxkhw/edit?usp=sharing"",""นครนายก!J525"")"),49588.82)</f>
        <v>49588.82</v>
      </c>
      <c r="K630" s="342">
        <f t="shared" ca="1" si="129"/>
        <v>1.3203940794059057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IFERROR(__xludf.DUMMYFUNCTION("IMPORTRANGE(""https://docs.google.com/spreadsheets/d/1SX6NBoVAgQJ6U1MVXOaj8PK2l7WJ3RER9xtqwdhxkhw/edit?usp=sharing"",""นครนายก!I526"")"),108)</f>
        <v>108</v>
      </c>
      <c r="J631" s="341">
        <f ca="1">IFERROR(__xludf.DUMMYFUNCTION("IMPORTRANGE(""https://docs.google.com/spreadsheets/d/1SX6NBoVAgQJ6U1MVXOaj8PK2l7WJ3RER9xtqwdhxkhw/edit?usp=sharing"",""นครนายก!J526"")"),12)</f>
        <v>12</v>
      </c>
      <c r="K631" s="342">
        <f t="shared" ca="1" si="129"/>
        <v>11.111111111111111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1">
        <f ca="1">IFERROR(__xludf.DUMMYFUNCTION("IMPORTRANGE(""https://docs.google.com/spreadsheets/d/1SX6NBoVAgQJ6U1MVXOaj8PK2l7WJ3RER9xtqwdhxkhw/edit?usp=sharing"",""นครนายก!J527"")"),952581.74)</f>
        <v>952581.74</v>
      </c>
      <c r="K632" s="342">
        <f t="shared" ca="1" si="129"/>
        <v>16.38855986743765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IFERROR(__xludf.DUMMYFUNCTION("IMPORTRANGE(""https://docs.google.com/spreadsheets/d/1SX6NBoVAgQJ6U1MVXOaj8PK2l7WJ3RER9xtqwdhxkhw/edit?usp=sharing"",""นครนายก!I528"")"),2019)</f>
        <v>2019</v>
      </c>
      <c r="J633" s="341">
        <f ca="1">IFERROR(__xludf.DUMMYFUNCTION("IMPORTRANGE(""https://docs.google.com/spreadsheets/d/1SX6NBoVAgQJ6U1MVXOaj8PK2l7WJ3RER9xtqwdhxkhw/edit?usp=sharing"",""นครนายก!J528"")"),296)</f>
        <v>296</v>
      </c>
      <c r="K633" s="342">
        <f t="shared" ca="1" si="129"/>
        <v>14.660723130262506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IFERROR(__xludf.DUMMYFUNCTION("IMPORTRANGE(""https://docs.google.com/spreadsheets/d/1SX6NBoVAgQJ6U1MVXOaj8PK2l7WJ3RER9xtqwdhxkhw/edit?usp=sharing"",""นครนายก!I529"")"),2000000)</f>
        <v>2000000</v>
      </c>
      <c r="J634" s="341">
        <f ca="1">IFERROR(__xludf.DUMMYFUNCTION("IMPORTRANGE(""https://docs.google.com/spreadsheets/d/1SX6NBoVAgQJ6U1MVXOaj8PK2l7WJ3RER9xtqwdhxkhw/edit?usp=sharing"",""นครนายก!J529"")"),925000)</f>
        <v>925000</v>
      </c>
      <c r="K634" s="342">
        <f t="shared" ca="1" si="129"/>
        <v>46.25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IFERROR(__xludf.DUMMYFUNCTION("IMPORTRANGE(""https://docs.google.com/spreadsheets/d/1SX6NBoVAgQJ6U1MVXOaj8PK2l7WJ3RER9xtqwdhxkhw/edit?usp=sharing"",""นครนายก!I530"")"),60)</f>
        <v>60</v>
      </c>
      <c r="J635" s="504">
        <f ca="1">IFERROR(__xludf.DUMMYFUNCTION("IMPORTRANGE(""https://docs.google.com/spreadsheets/d/1SX6NBoVAgQJ6U1MVXOaj8PK2l7WJ3RER9xtqwdhxkhw/edit?usp=sharing"",""นครนายก!J530"")"),24)</f>
        <v>24</v>
      </c>
      <c r="K635" s="486">
        <f t="shared" ca="1" si="129"/>
        <v>40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3.85546875" bestFit="1" customWidth="1"/>
    <col min="10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</row>
    <row r="2" spans="1:16" ht="18" customHeight="1" x14ac:dyDescent="0.25">
      <c r="A2" s="537" t="s">
        <v>252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</row>
    <row r="3" spans="1:16" ht="18" customHeight="1" x14ac:dyDescent="0.25">
      <c r="A3" s="537" t="s">
        <v>280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31" t="s">
        <v>2</v>
      </c>
      <c r="B5" s="532"/>
      <c r="C5" s="532"/>
      <c r="D5" s="532"/>
      <c r="E5" s="532"/>
      <c r="F5" s="532"/>
      <c r="G5" s="533"/>
      <c r="H5" s="526" t="s">
        <v>3</v>
      </c>
      <c r="I5" s="528" t="s">
        <v>4</v>
      </c>
      <c r="J5" s="520"/>
      <c r="K5" s="521"/>
      <c r="L5" s="529" t="s">
        <v>5</v>
      </c>
      <c r="M5" s="521"/>
      <c r="N5" s="530" t="s">
        <v>6</v>
      </c>
      <c r="O5" s="520"/>
      <c r="P5" s="521"/>
    </row>
    <row r="6" spans="1:16" ht="21.75" customHeight="1" x14ac:dyDescent="0.25">
      <c r="A6" s="534"/>
      <c r="B6" s="535"/>
      <c r="C6" s="535"/>
      <c r="D6" s="535"/>
      <c r="E6" s="535"/>
      <c r="F6" s="535"/>
      <c r="G6" s="536"/>
      <c r="H6" s="52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25" t="s">
        <v>15</v>
      </c>
      <c r="B7" s="520"/>
      <c r="C7" s="520"/>
      <c r="D7" s="520"/>
      <c r="E7" s="520"/>
      <c r="F7" s="520"/>
      <c r="G7" s="52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24" t="s">
        <v>17</v>
      </c>
      <c r="E8" s="513"/>
      <c r="F8" s="513"/>
      <c r="G8" s="513"/>
      <c r="H8" s="20" t="s">
        <v>12</v>
      </c>
      <c r="I8" s="21"/>
      <c r="J8" s="21"/>
      <c r="K8" s="22"/>
      <c r="L8" s="23">
        <f t="shared" ref="L8:N8" ca="1" si="0">L9+L10</f>
        <v>2426755</v>
      </c>
      <c r="M8" s="23">
        <f t="shared" ca="1" si="0"/>
        <v>1171810</v>
      </c>
      <c r="N8" s="23">
        <f t="shared" ca="1" si="0"/>
        <v>1066486.7</v>
      </c>
      <c r="O8" s="22">
        <f t="shared" ref="O8:O16" ca="1" si="1">IF(L8&gt;0,N8*100/L8,0)</f>
        <v>43.947028027139119</v>
      </c>
      <c r="P8" s="22">
        <f t="shared" ref="P8:P16" ca="1" si="2">IF(M8&gt;0,N8*100/M8,0)</f>
        <v>91.011913194118506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2426755</v>
      </c>
      <c r="M10" s="30">
        <f t="shared" ca="1" si="4"/>
        <v>1171810</v>
      </c>
      <c r="N10" s="30">
        <f t="shared" ca="1" si="4"/>
        <v>1066486.7</v>
      </c>
      <c r="O10" s="29">
        <f t="shared" ca="1" si="1"/>
        <v>43.947028027139119</v>
      </c>
      <c r="P10" s="29">
        <f t="shared" ca="1" si="2"/>
        <v>91.011913194118506</v>
      </c>
    </row>
    <row r="11" spans="1:16" ht="21.75" customHeight="1" x14ac:dyDescent="0.3">
      <c r="A11" s="31"/>
      <c r="B11" s="32"/>
      <c r="C11" s="33" t="s">
        <v>16</v>
      </c>
      <c r="D11" s="518" t="s">
        <v>20</v>
      </c>
      <c r="E11" s="515"/>
      <c r="F11" s="51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2284205</v>
      </c>
      <c r="M12" s="38">
        <f t="shared" ca="1" si="6"/>
        <v>1029260</v>
      </c>
      <c r="N12" s="38">
        <f t="shared" ca="1" si="6"/>
        <v>923936.7</v>
      </c>
      <c r="O12" s="38">
        <f t="shared" ca="1" si="1"/>
        <v>40.448939565406782</v>
      </c>
      <c r="P12" s="38">
        <f t="shared" ca="1" si="2"/>
        <v>89.767085090259016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816205</v>
      </c>
      <c r="M14" s="38">
        <f t="shared" si="8"/>
        <v>0</v>
      </c>
      <c r="N14" s="38">
        <f t="shared" ca="1" si="8"/>
        <v>153611.70000000001</v>
      </c>
      <c r="O14" s="38">
        <f t="shared" ca="1" si="1"/>
        <v>18.820235112502377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18" t="s">
        <v>23</v>
      </c>
      <c r="E15" s="51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142550</v>
      </c>
      <c r="M16" s="38">
        <f t="shared" ca="1" si="10"/>
        <v>142550</v>
      </c>
      <c r="N16" s="38">
        <f t="shared" ca="1" si="10"/>
        <v>142550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25" t="s">
        <v>24</v>
      </c>
      <c r="B17" s="520"/>
      <c r="C17" s="520"/>
      <c r="D17" s="520"/>
      <c r="E17" s="520"/>
      <c r="F17" s="520"/>
      <c r="G17" s="52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24" t="s">
        <v>17</v>
      </c>
      <c r="E18" s="513"/>
      <c r="F18" s="513"/>
      <c r="G18" s="513"/>
      <c r="H18" s="20" t="s">
        <v>12</v>
      </c>
      <c r="I18" s="21"/>
      <c r="J18" s="21"/>
      <c r="K18" s="22"/>
      <c r="L18" s="23">
        <f t="shared" ref="L18:N18" ca="1" si="11">L19+L20</f>
        <v>2067155</v>
      </c>
      <c r="M18" s="23">
        <f t="shared" ca="1" si="11"/>
        <v>1171810</v>
      </c>
      <c r="N18" s="23">
        <f t="shared" ca="1" si="11"/>
        <v>912875</v>
      </c>
      <c r="O18" s="22">
        <f t="shared" ref="O18:O20" ca="1" si="12">IF(L18&gt;0,N18*100/L18,0)</f>
        <v>44.160936165889837</v>
      </c>
      <c r="P18" s="22">
        <f t="shared" ref="P18:P26" ca="1" si="13">IF(M18&gt;0,N18*100/M18,0)</f>
        <v>77.902987685716965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2067155</v>
      </c>
      <c r="M20" s="30">
        <f t="shared" ca="1" si="15"/>
        <v>1171810</v>
      </c>
      <c r="N20" s="30">
        <f t="shared" ca="1" si="15"/>
        <v>912875</v>
      </c>
      <c r="O20" s="29">
        <f t="shared" ca="1" si="12"/>
        <v>44.160936165889837</v>
      </c>
      <c r="P20" s="29">
        <f t="shared" ca="1" si="13"/>
        <v>77.902987685716965</v>
      </c>
    </row>
    <row r="21" spans="1:16" ht="21.75" customHeight="1" x14ac:dyDescent="0.3">
      <c r="A21" s="31"/>
      <c r="B21" s="32"/>
      <c r="C21" s="33" t="s">
        <v>16</v>
      </c>
      <c r="D21" s="518" t="s">
        <v>20</v>
      </c>
      <c r="E21" s="515"/>
      <c r="F21" s="51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1029260</v>
      </c>
      <c r="N22" s="38">
        <f t="shared" ca="1" si="18"/>
        <v>770325</v>
      </c>
      <c r="O22" s="38">
        <f t="shared" ca="1" si="17"/>
        <v>40.025096058671778</v>
      </c>
      <c r="P22" s="38">
        <f t="shared" ca="1" si="13"/>
        <v>74.842605366962673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18" t="s">
        <v>23</v>
      </c>
      <c r="E25" s="51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142550</v>
      </c>
      <c r="M26" s="49">
        <f t="shared" ca="1" si="22"/>
        <v>142550</v>
      </c>
      <c r="N26" s="49">
        <f t="shared" ca="1" si="22"/>
        <v>142550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25" t="s">
        <v>25</v>
      </c>
      <c r="B27" s="520"/>
      <c r="C27" s="520"/>
      <c r="D27" s="520"/>
      <c r="E27" s="520"/>
      <c r="F27" s="520"/>
      <c r="G27" s="52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24" t="s">
        <v>17</v>
      </c>
      <c r="E28" s="513"/>
      <c r="F28" s="513"/>
      <c r="G28" s="513"/>
      <c r="H28" s="20" t="s">
        <v>12</v>
      </c>
      <c r="I28" s="21"/>
      <c r="J28" s="21"/>
      <c r="K28" s="22"/>
      <c r="L28" s="23">
        <f t="shared" ref="L28:N28" ca="1" si="23">L29+L30</f>
        <v>359600</v>
      </c>
      <c r="M28" s="23">
        <f t="shared" si="23"/>
        <v>0</v>
      </c>
      <c r="N28" s="23">
        <f t="shared" ca="1" si="23"/>
        <v>153611.70000000001</v>
      </c>
      <c r="O28" s="22">
        <f t="shared" ref="O28:O30" ca="1" si="24">IF(L28&gt;0,N28*100/L28,0)</f>
        <v>42.717380422691882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359600</v>
      </c>
      <c r="M30" s="30">
        <f t="shared" si="27"/>
        <v>0</v>
      </c>
      <c r="N30" s="30">
        <f t="shared" ca="1" si="27"/>
        <v>153611.70000000001</v>
      </c>
      <c r="O30" s="29">
        <f t="shared" ca="1" si="24"/>
        <v>42.717380422691882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18" t="s">
        <v>20</v>
      </c>
      <c r="E31" s="515"/>
      <c r="F31" s="51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359600</v>
      </c>
      <c r="M32" s="38">
        <f t="shared" si="30"/>
        <v>0</v>
      </c>
      <c r="N32" s="38">
        <f t="shared" ca="1" si="30"/>
        <v>153611.70000000001</v>
      </c>
      <c r="O32" s="38">
        <f t="shared" ca="1" si="29"/>
        <v>42.717380422691882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359600</v>
      </c>
      <c r="M34" s="38">
        <f t="shared" si="32"/>
        <v>0</v>
      </c>
      <c r="N34" s="38">
        <f t="shared" ca="1" si="32"/>
        <v>153611.70000000001</v>
      </c>
      <c r="O34" s="38">
        <f t="shared" ca="1" si="29"/>
        <v>42.717380422691882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18" t="s">
        <v>23</v>
      </c>
      <c r="E35" s="51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2067155</v>
      </c>
      <c r="M37" s="54">
        <f t="shared" ca="1" si="33"/>
        <v>1171810</v>
      </c>
      <c r="N37" s="54">
        <f t="shared" ca="1" si="33"/>
        <v>912875</v>
      </c>
      <c r="O37" s="55">
        <f t="shared" ca="1" si="29"/>
        <v>44.160936165889837</v>
      </c>
      <c r="P37" s="55">
        <f t="shared" ca="1" si="25"/>
        <v>77.902987685716965</v>
      </c>
    </row>
    <row r="38" spans="1:16" ht="21.75" customHeight="1" x14ac:dyDescent="0.3">
      <c r="A38" s="519" t="s">
        <v>27</v>
      </c>
      <c r="B38" s="520"/>
      <c r="C38" s="520"/>
      <c r="D38" s="520"/>
      <c r="E38" s="520"/>
      <c r="F38" s="520"/>
      <c r="G38" s="52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22" t="s">
        <v>28</v>
      </c>
      <c r="C39" s="513"/>
      <c r="D39" s="513"/>
      <c r="E39" s="513"/>
      <c r="F39" s="513"/>
      <c r="G39" s="51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23" t="s">
        <v>17</v>
      </c>
      <c r="E41" s="515"/>
      <c r="F41" s="515"/>
      <c r="G41" s="515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281700</v>
      </c>
      <c r="N41" s="78">
        <f t="shared" ca="1" si="34"/>
        <v>229130</v>
      </c>
      <c r="O41" s="77">
        <f t="shared" ref="O41:O43" ca="1" si="35">IF(L41&gt;0,N41*100/L41,0)</f>
        <v>40.676371382922063</v>
      </c>
      <c r="P41" s="77">
        <f t="shared" ref="P41:P43" ca="1" si="36">IF(M41&gt;0,N41*100/M41,0)</f>
        <v>81.338303159389426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281700</v>
      </c>
      <c r="N43" s="78">
        <f t="shared" ca="1" si="38"/>
        <v>229130</v>
      </c>
      <c r="O43" s="77">
        <f t="shared" ca="1" si="35"/>
        <v>40.676371382922063</v>
      </c>
      <c r="P43" s="77">
        <f t="shared" ca="1" si="36"/>
        <v>81.338303159389426</v>
      </c>
    </row>
    <row r="44" spans="1:16" ht="21.75" customHeight="1" x14ac:dyDescent="0.3">
      <c r="A44" s="79"/>
      <c r="B44" s="80"/>
      <c r="C44" s="81" t="s">
        <v>16</v>
      </c>
      <c r="D44" s="514" t="s">
        <v>20</v>
      </c>
      <c r="E44" s="515"/>
      <c r="F44" s="51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IFERROR(__xludf.DUMMYFUNCTION("IMPORTRANGE(""https://docs.google.com/spreadsheets/d/1Yj_ptqi66GCucihVvJfMjLAmec39IyEx_6qawtMGysU/edit?usp=sharing"",""สบก!Q66"")"),281700)</f>
        <v>281700</v>
      </c>
      <c r="N45" s="49">
        <f ca="1">IFERROR(__xludf.DUMMYFUNCTION("IMPORTRANGE(""https://docs.google.com/spreadsheets/d/1Yj_ptqi66GCucihVvJfMjLAmec39IyEx_6qawtMGysU/edit?usp=sharing"",""สบก!R66"")"),229130)</f>
        <v>229130</v>
      </c>
      <c r="O45" s="38">
        <f ca="1">IF(L45&gt;0,N45*100/L45,0)</f>
        <v>40.676371382922063</v>
      </c>
      <c r="P45" s="38">
        <f ca="1">IF(M45&gt;0,N45*100/M45,0)</f>
        <v>81.338303159389426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14" t="s">
        <v>23</v>
      </c>
      <c r="E48" s="51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16" t="s">
        <v>32</v>
      </c>
      <c r="C52" s="515"/>
      <c r="D52" s="515"/>
      <c r="E52" s="515"/>
      <c r="F52" s="515"/>
      <c r="G52" s="51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17" t="s">
        <v>17</v>
      </c>
      <c r="E53" s="515"/>
      <c r="F53" s="515"/>
      <c r="G53" s="515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163855</v>
      </c>
      <c r="N53" s="121">
        <f t="shared" ca="1" si="39"/>
        <v>130872</v>
      </c>
      <c r="O53" s="120">
        <f t="shared" ref="O53:O55" ca="1" si="40">IF(L53&gt;0,N53*100/L53,0)</f>
        <v>45.44166666666667</v>
      </c>
      <c r="P53" s="120">
        <f t="shared" ref="P53:P55" ca="1" si="41">IF(M53&gt;0,N53*100/M53,0)</f>
        <v>79.870617314088676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163855</v>
      </c>
      <c r="N55" s="121">
        <f t="shared" ca="1" si="43"/>
        <v>130872</v>
      </c>
      <c r="O55" s="120">
        <f t="shared" ca="1" si="40"/>
        <v>45.44166666666667</v>
      </c>
      <c r="P55" s="120">
        <f t="shared" ca="1" si="41"/>
        <v>79.870617314088676</v>
      </c>
    </row>
    <row r="56" spans="1:16" ht="21.75" customHeight="1" x14ac:dyDescent="0.3">
      <c r="A56" s="79"/>
      <c r="B56" s="80"/>
      <c r="C56" s="81" t="s">
        <v>16</v>
      </c>
      <c r="D56" s="514" t="s">
        <v>20</v>
      </c>
      <c r="E56" s="515"/>
      <c r="F56" s="51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IFERROR(__xludf.DUMMYFUNCTION("IMPORTRANGE(""https://docs.google.com/spreadsheets/d/1Yj_ptqi66GCucihVvJfMjLAmec39IyEx_6qawtMGysU/edit?usp=sharing"",""สบก!Z66"")"),163855)</f>
        <v>163855</v>
      </c>
      <c r="N57" s="49">
        <f ca="1">IFERROR(__xludf.DUMMYFUNCTION("IMPORTRANGE(""https://docs.google.com/spreadsheets/d/1Yj_ptqi66GCucihVvJfMjLAmec39IyEx_6qawtMGysU/edit?usp=sharing"",""สบก!AA66"")"),130872)</f>
        <v>130872</v>
      </c>
      <c r="O57" s="38">
        <f ca="1">IF(L57&gt;0,N57*100/L57,0)</f>
        <v>45.44166666666667</v>
      </c>
      <c r="P57" s="38">
        <f ca="1">IF(M57&gt;0,N57*100/M57,0)</f>
        <v>79.870617314088676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14" t="s">
        <v>23</v>
      </c>
      <c r="E60" s="51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12" t="s">
        <v>17</v>
      </c>
      <c r="E66" s="513"/>
      <c r="F66" s="513"/>
      <c r="G66" s="51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IFERROR(__xludf.DUMMYFUNCTION("IMPORTRANGE(""https://docs.google.com/spreadsheets/d/1Yj_ptqi66GCucihVvJfMjLAmec39IyEx_6qawtMGysU/edit?usp=sharing"",""สบก!AI66"")"),0)</f>
        <v>0</v>
      </c>
      <c r="N70" s="170">
        <f ca="1">IFERROR(__xludf.DUMMYFUNCTION("IMPORTRANGE(""https://docs.google.com/spreadsheets/d/1Yj_ptqi66GCucihVvJfMjLAmec39IyEx_6qawtMGysU/edit?usp=sharing"",""สบก!AJ66"")"),0)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IFERROR(__xludf.DUMMYFUNCTION("IMPORTRANGE(""https://docs.google.com/spreadsheets/d/1Yj_ptqi66GCucihVvJfMjLAmec39IyEx_6qawtMGysU/edit?usp=sharing"",""สบก!AE66"")"),0)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IFERROR(__xludf.DUMMYFUNCTION("IMPORTRANGE(""https://docs.google.com/spreadsheets/d/1Yj_ptqi66GCucihVvJfMjLAmec39IyEx_6qawtMGysU/edit?usp=sharing"",""สบก!AF66"")"),0)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14" t="s">
        <v>23</v>
      </c>
      <c r="E73" s="515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IFERROR(__xludf.DUMMYFUNCTION("IMPORTRANGE(""https://docs.google.com/spreadsheets/d/1SX6NBoVAgQJ6U1MVXOaj8PK2l7WJ3RER9xtqwdhxkhw/edit?usp=sharing"",""นครปฐม!J16"")"),0)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IFERROR(__xludf.DUMMYFUNCTION("IMPORTRANGE(""https://docs.google.com/spreadsheets/d/1SX6NBoVAgQJ6U1MVXOaj8PK2l7WJ3RER9xtqwdhxkhw/edit?usp=sharing"",""นครปฐม!J17"")"),0)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IFERROR(__xludf.DUMMYFUNCTION("IMPORTRANGE(""https://docs.google.com/spreadsheets/d/1SX6NBoVAgQJ6U1MVXOaj8PK2l7WJ3RER9xtqwdhxkhw/edit?usp=sharing"",""นครปฐม!J18"")"),0)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IFERROR(__xludf.DUMMYFUNCTION("IMPORTRANGE(""https://docs.google.com/spreadsheets/d/1SX6NBoVAgQJ6U1MVXOaj8PK2l7WJ3RER9xtqwdhxkhw/edit?usp=sharing"",""นครปฐม!J19"")"),0)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IFERROR(__xludf.DUMMYFUNCTION("IMPORTRANGE(""https://docs.google.com/spreadsheets/d/1SX6NBoVAgQJ6U1MVXOaj8PK2l7WJ3RER9xtqwdhxkhw/edit?usp=sharing"",""นครปฐม!I20"")"),0)</f>
        <v>0</v>
      </c>
      <c r="J80" s="202">
        <f ca="1">IFERROR(__xludf.DUMMYFUNCTION("IMPORTRANGE(""https://docs.google.com/spreadsheets/d/1SX6NBoVAgQJ6U1MVXOaj8PK2l7WJ3RER9xtqwdhxkhw/edit?usp=sharing"",""นครปฐม!J20"")"),0)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IFERROR(__xludf.DUMMYFUNCTION("IMPORTRANGE(""https://docs.google.com/spreadsheets/d/1SX6NBoVAgQJ6U1MVXOaj8PK2l7WJ3RER9xtqwdhxkhw/edit?usp=sharing"",""นครปฐม!I21"")"),0)</f>
        <v>0</v>
      </c>
      <c r="J81" s="202">
        <f ca="1">IFERROR(__xludf.DUMMYFUNCTION("IMPORTRANGE(""https://docs.google.com/spreadsheets/d/1SX6NBoVAgQJ6U1MVXOaj8PK2l7WJ3RER9xtqwdhxkhw/edit?usp=sharing"",""นครปฐม!J21"")"),0)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IFERROR(__xludf.DUMMYFUNCTION("IMPORTRANGE(""https://docs.google.com/spreadsheets/d/1SX6NBoVAgQJ6U1MVXOaj8PK2l7WJ3RER9xtqwdhxkhw/edit?usp=sharing"",""นครปฐม!I22"")"),0)</f>
        <v>0</v>
      </c>
      <c r="J82" s="205">
        <f ca="1">IFERROR(__xludf.DUMMYFUNCTION("IMPORTRANGE(""https://docs.google.com/spreadsheets/d/1SX6NBoVAgQJ6U1MVXOaj8PK2l7WJ3RER9xtqwdhxkhw/edit?usp=sharing"",""นครปฐม!J22"")"),0)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IFERROR(__xludf.DUMMYFUNCTION("IMPORTRANGE(""https://docs.google.com/spreadsheets/d/1SX6NBoVAgQJ6U1MVXOaj8PK2l7WJ3RER9xtqwdhxkhw/edit?usp=sharing"",""นครปฐม!I23"")"),0)</f>
        <v>0</v>
      </c>
      <c r="J83" s="205">
        <f ca="1">IFERROR(__xludf.DUMMYFUNCTION("IMPORTRANGE(""https://docs.google.com/spreadsheets/d/1SX6NBoVAgQJ6U1MVXOaj8PK2l7WJ3RER9xtqwdhxkhw/edit?usp=sharing"",""นครปฐม!J23"")"),0)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IFERROR(__xludf.DUMMYFUNCTION("IMPORTRANGE(""https://docs.google.com/spreadsheets/d/1SX6NBoVAgQJ6U1MVXOaj8PK2l7WJ3RER9xtqwdhxkhw/edit?usp=sharing"",""นครปฐม!I24"")"),0)</f>
        <v>0</v>
      </c>
      <c r="J84" s="190">
        <f ca="1">IFERROR(__xludf.DUMMYFUNCTION("IMPORTRANGE(""https://docs.google.com/spreadsheets/d/1SX6NBoVAgQJ6U1MVXOaj8PK2l7WJ3RER9xtqwdhxkhw/edit?usp=sharing"",""นครปฐม!J24"")"),0)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IFERROR(__xludf.DUMMYFUNCTION("IMPORTRANGE(""https://docs.google.com/spreadsheets/d/1SX6NBoVAgQJ6U1MVXOaj8PK2l7WJ3RER9xtqwdhxkhw/edit?usp=sharing"",""นครปฐม!I25"")"),0)</f>
        <v>0</v>
      </c>
      <c r="J85" s="190">
        <f ca="1">IFERROR(__xludf.DUMMYFUNCTION("IMPORTRANGE(""https://docs.google.com/spreadsheets/d/1SX6NBoVAgQJ6U1MVXOaj8PK2l7WJ3RER9xtqwdhxkhw/edit?usp=sharing"",""นครปฐม!J25"")"),0)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IFERROR(__xludf.DUMMYFUNCTION("IMPORTRANGE(""https://docs.google.com/spreadsheets/d/1SX6NBoVAgQJ6U1MVXOaj8PK2l7WJ3RER9xtqwdhxkhw/edit?usp=sharing"",""นครปฐม!I26"")"),0)</f>
        <v>0</v>
      </c>
      <c r="J86" s="205">
        <f ca="1">IFERROR(__xludf.DUMMYFUNCTION("IMPORTRANGE(""https://docs.google.com/spreadsheets/d/1SX6NBoVAgQJ6U1MVXOaj8PK2l7WJ3RER9xtqwdhxkhw/edit?usp=sharing"",""นครปฐม!J26"")"),0)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IFERROR(__xludf.DUMMYFUNCTION("IMPORTRANGE(""https://docs.google.com/spreadsheets/d/1SX6NBoVAgQJ6U1MVXOaj8PK2l7WJ3RER9xtqwdhxkhw/edit?usp=sharing"",""นครปฐม!I27"")"),0)</f>
        <v>0</v>
      </c>
      <c r="J87" s="205">
        <f ca="1">IFERROR(__xludf.DUMMYFUNCTION("IMPORTRANGE(""https://docs.google.com/spreadsheets/d/1SX6NBoVAgQJ6U1MVXOaj8PK2l7WJ3RER9xtqwdhxkhw/edit?usp=sharing"",""นครปฐม!J27"")"),0)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IFERROR(__xludf.DUMMYFUNCTION("IMPORTRANGE(""https://docs.google.com/spreadsheets/d/1SX6NBoVAgQJ6U1MVXOaj8PK2l7WJ3RER9xtqwdhxkhw/edit?usp=sharing"",""นครปฐม!I28"")"),0)</f>
        <v>0</v>
      </c>
      <c r="J88" s="205">
        <f ca="1">IFERROR(__xludf.DUMMYFUNCTION("IMPORTRANGE(""https://docs.google.com/spreadsheets/d/1SX6NBoVAgQJ6U1MVXOaj8PK2l7WJ3RER9xtqwdhxkhw/edit?usp=sharing"",""นครปฐม!J28"")"),0)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IFERROR(__xludf.DUMMYFUNCTION("IMPORTRANGE(""https://docs.google.com/spreadsheets/d/1SX6NBoVAgQJ6U1MVXOaj8PK2l7WJ3RER9xtqwdhxkhw/edit?usp=sharing"",""นครปฐม!J29"")"),0)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12" t="s">
        <v>17</v>
      </c>
      <c r="E94" s="513"/>
      <c r="F94" s="513"/>
      <c r="G94" s="513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IFERROR(__xludf.DUMMYFUNCTION("IMPORTRANGE(""https://docs.google.com/spreadsheets/d/1Yj_ptqi66GCucihVvJfMjLAmec39IyEx_6qawtMGysU/edit?usp=sharing"",""สบก!AR66"")"),0)</f>
        <v>0</v>
      </c>
      <c r="N98" s="170">
        <f ca="1">IFERROR(__xludf.DUMMYFUNCTION("IMPORTRANGE(""https://docs.google.com/spreadsheets/d/1Yj_ptqi66GCucihVvJfMjLAmec39IyEx_6qawtMGysU/edit?usp=sharing"",""สบก!AS66"")"),0)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IFERROR(__xludf.DUMMYFUNCTION("IMPORTRANGE(""https://docs.google.com/spreadsheets/d/1Yj_ptqi66GCucihVvJfMjLAmec39IyEx_6qawtMGysU/edit?usp=sharing"",""สบก!AN66"")"),0)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IFERROR(__xludf.DUMMYFUNCTION("IMPORTRANGE(""https://docs.google.com/spreadsheets/d/1Yj_ptqi66GCucihVvJfMjLAmec39IyEx_6qawtMGysU/edit?usp=sharing"",""สบก!AO66"")"),0)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14" t="s">
        <v>23</v>
      </c>
      <c r="E101" s="515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IFERROR(__xludf.DUMMYFUNCTION("IMPORTRANGE(""https://docs.google.com/spreadsheets/d/1SX6NBoVAgQJ6U1MVXOaj8PK2l7WJ3RER9xtqwdhxkhw/edit?usp=sharing"",""นครปฐม!I43"")"),0)</f>
        <v>0</v>
      </c>
      <c r="J108" s="205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IFERROR(__xludf.DUMMYFUNCTION("IMPORTRANGE(""https://docs.google.com/spreadsheets/d/1SX6NBoVAgQJ6U1MVXOaj8PK2l7WJ3RER9xtqwdhxkhw/edit?usp=sharing"",""นครปฐม!I44"")"),0)</f>
        <v>0</v>
      </c>
      <c r="J109" s="205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IFERROR(__xludf.DUMMYFUNCTION("IMPORTRANGE(""https://docs.google.com/spreadsheets/d/1SX6NBoVAgQJ6U1MVXOaj8PK2l7WJ3RER9xtqwdhxkhw/edit?usp=sharing"",""นครปฐม!I45"")"),0)</f>
        <v>0</v>
      </c>
      <c r="J110" s="205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IFERROR(__xludf.DUMMYFUNCTION("IMPORTRANGE(""https://docs.google.com/spreadsheets/d/1SX6NBoVAgQJ6U1MVXOaj8PK2l7WJ3RER9xtqwdhxkhw/edit?usp=sharing"",""นครปฐม!I46"")"),0)</f>
        <v>0</v>
      </c>
      <c r="J111" s="205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IFERROR(__xludf.DUMMYFUNCTION("IMPORTRANGE(""https://docs.google.com/spreadsheets/d/1SX6NBoVAgQJ6U1MVXOaj8PK2l7WJ3RER9xtqwdhxkhw/edit?usp=sharing"",""นครปฐม!I47"")"),0)</f>
        <v>0</v>
      </c>
      <c r="J112" s="205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IFERROR(__xludf.DUMMYFUNCTION("IMPORTRANGE(""https://docs.google.com/spreadsheets/d/1SX6NBoVAgQJ6U1MVXOaj8PK2l7WJ3RER9xtqwdhxkhw/edit?usp=sharing"",""นครปฐม!I48"")"),0)</f>
        <v>0</v>
      </c>
      <c r="J113" s="205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12" t="s">
        <v>17</v>
      </c>
      <c r="E118" s="513"/>
      <c r="F118" s="513"/>
      <c r="G118" s="513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IFERROR(__xludf.DUMMYFUNCTION("IMPORTRANGE(""https://docs.google.com/spreadsheets/d/1Yj_ptqi66GCucihVvJfMjLAmec39IyEx_6qawtMGysU/edit?usp=sharing"",""สบก!BA66"")"),0)</f>
        <v>0</v>
      </c>
      <c r="N122" s="170">
        <f ca="1">IFERROR(__xludf.DUMMYFUNCTION("IMPORTRANGE(""https://docs.google.com/spreadsheets/d/1Yj_ptqi66GCucihVvJfMjLAmec39IyEx_6qawtMGysU/edit?usp=sharing"",""สบก!BB66"")"),0)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IFERROR(__xludf.DUMMYFUNCTION("IMPORTRANGE(""https://docs.google.com/spreadsheets/d/1Yj_ptqi66GCucihVvJfMjLAmec39IyEx_6qawtMGysU/edit?usp=sharing"",""สบก!AW66"")"),0)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IFERROR(__xludf.DUMMYFUNCTION("IMPORTRANGE(""https://docs.google.com/spreadsheets/d/1Yj_ptqi66GCucihVvJfMjLAmec39IyEx_6qawtMGysU/edit?usp=sharing"",""สบก!AX66"")"),0)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14" t="s">
        <v>23</v>
      </c>
      <c r="E125" s="515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253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IFERROR(__xludf.DUMMYFUNCTION("IMPORTRANGE(""https://docs.google.com/spreadsheets/d/1SX6NBoVAgQJ6U1MVXOaj8PK2l7WJ3RER9xtqwdhxkhw/edit?usp=sharing"",""นครปฐม!I62"")"),0)</f>
        <v>0</v>
      </c>
      <c r="J132" s="205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IFERROR(__xludf.DUMMYFUNCTION("IMPORTRANGE(""https://docs.google.com/spreadsheets/d/1SX6NBoVAgQJ6U1MVXOaj8PK2l7WJ3RER9xtqwdhxkhw/edit?usp=sharing"",""นครปฐม!I63"")"),0)</f>
        <v>0</v>
      </c>
      <c r="J133" s="205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12" t="s">
        <v>17</v>
      </c>
      <c r="E140" s="513"/>
      <c r="F140" s="513"/>
      <c r="G140" s="513"/>
      <c r="H140" s="149" t="s">
        <v>12</v>
      </c>
      <c r="I140" s="164"/>
      <c r="J140" s="164"/>
      <c r="K140" s="165"/>
      <c r="L140" s="152">
        <f t="shared" ref="L140:N140" ca="1" si="64">L141+L142</f>
        <v>567900</v>
      </c>
      <c r="M140" s="152">
        <f t="shared" ca="1" si="64"/>
        <v>321350</v>
      </c>
      <c r="N140" s="152">
        <f t="shared" ca="1" si="64"/>
        <v>222028</v>
      </c>
      <c r="O140" s="151">
        <f t="shared" ref="O140:O142" ca="1" si="65">IF(L140&gt;0,N140*100/L140,0)</f>
        <v>39.096319774608205</v>
      </c>
      <c r="P140" s="151">
        <f t="shared" ref="P140:P142" ca="1" si="66">IF(M140&gt;0,N140*100/M140,0)</f>
        <v>69.092266998599655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567900</v>
      </c>
      <c r="M142" s="157">
        <f t="shared" ca="1" si="68"/>
        <v>321350</v>
      </c>
      <c r="N142" s="157">
        <f t="shared" ca="1" si="68"/>
        <v>222028</v>
      </c>
      <c r="O142" s="156">
        <f t="shared" ca="1" si="65"/>
        <v>39.096319774608205</v>
      </c>
      <c r="P142" s="156">
        <f t="shared" ca="1" si="66"/>
        <v>69.092266998599655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567900</v>
      </c>
      <c r="M144" s="169">
        <f ca="1">IFERROR(__xludf.DUMMYFUNCTION("IMPORTRANGE(""https://docs.google.com/spreadsheets/d/1Yj_ptqi66GCucihVvJfMjLAmec39IyEx_6qawtMGysU/edit?usp=sharing"",""สบก!BJ66"")"),321350)</f>
        <v>321350</v>
      </c>
      <c r="N144" s="170">
        <f ca="1">IFERROR(__xludf.DUMMYFUNCTION("IMPORTRANGE(""https://docs.google.com/spreadsheets/d/1Yj_ptqi66GCucihVvJfMjLAmec39IyEx_6qawtMGysU/edit?usp=sharing"",""สบก!BK66"")"),222028)</f>
        <v>222028</v>
      </c>
      <c r="O144" s="170">
        <f ca="1">IF(L144&gt;0,N144*100/L144,0)</f>
        <v>39.096319774608205</v>
      </c>
      <c r="P144" s="170">
        <f ca="1">IF(M144&gt;0,N144*100/M144,0)</f>
        <v>69.092266998599655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IFERROR(__xludf.DUMMYFUNCTION("IMPORTRANGE(""https://docs.google.com/spreadsheets/d/1Yj_ptqi66GCucihVvJfMjLAmec39IyEx_6qawtMGysU/edit?usp=sharing"",""สบก!BF66"")"),310700)</f>
        <v>310700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IFERROR(__xludf.DUMMYFUNCTION("IMPORTRANGE(""https://docs.google.com/spreadsheets/d/1Yj_ptqi66GCucihVvJfMjLAmec39IyEx_6qawtMGysU/edit?usp=sharing"",""สบก!BG66"")"),257200)</f>
        <v>257200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14" t="s">
        <v>23</v>
      </c>
      <c r="E147" s="515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IFERROR(__xludf.DUMMYFUNCTION("IMPORTRANGE(""https://docs.google.com/spreadsheets/d/1SX6NBoVAgQJ6U1MVXOaj8PK2l7WJ3RER9xtqwdhxkhw/edit?usp=sharing"",""นครปฐม!J79"")"),1)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IFERROR(__xludf.DUMMYFUNCTION("IMPORTRANGE(""https://docs.google.com/spreadsheets/d/1SX6NBoVAgQJ6U1MVXOaj8PK2l7WJ3RER9xtqwdhxkhw/edit?usp=sharing"",""นครปฐม!J80"")"),0)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IFERROR(__xludf.DUMMYFUNCTION("IMPORTRANGE(""https://docs.google.com/spreadsheets/d/1SX6NBoVAgQJ6U1MVXOaj8PK2l7WJ3RER9xtqwdhxkhw/edit?usp=sharing"",""นครปฐม!J81"")"),0)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IFERROR(__xludf.DUMMYFUNCTION("IMPORTRANGE(""https://docs.google.com/spreadsheets/d/1SX6NBoVAgQJ6U1MVXOaj8PK2l7WJ3RER9xtqwdhxkhw/edit?usp=sharing"",""นครปฐม!J82"")"),0)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IFERROR(__xludf.DUMMYFUNCTION("IMPORTRANGE(""https://docs.google.com/spreadsheets/d/1SX6NBoVAgQJ6U1MVXOaj8PK2l7WJ3RER9xtqwdhxkhw/edit?usp=sharing"",""นครปฐม!I83"")"),4)</f>
        <v>4</v>
      </c>
      <c r="J158" s="190">
        <f ca="1">IFERROR(__xludf.DUMMYFUNCTION("IMPORTRANGE(""https://docs.google.com/spreadsheets/d/1SX6NBoVAgQJ6U1MVXOaj8PK2l7WJ3RER9xtqwdhxkhw/edit?usp=sharing"",""นครปฐม!J83"")"),1)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IFERROR(__xludf.DUMMYFUNCTION("IMPORTRANGE(""https://docs.google.com/spreadsheets/d/1SX6NBoVAgQJ6U1MVXOaj8PK2l7WJ3RER9xtqwdhxkhw/edit?usp=sharing"",""นครปฐม!J84"")"),40)</f>
        <v>40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IFERROR(__xludf.DUMMYFUNCTION("IMPORTRANGE(""https://docs.google.com/spreadsheets/d/1SX6NBoVAgQJ6U1MVXOaj8PK2l7WJ3RER9xtqwdhxkhw/edit?usp=sharing"",""นครปฐม!J85"")"),40)</f>
        <v>40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IFERROR(__xludf.DUMMYFUNCTION("IMPORTRANGE(""https://docs.google.com/spreadsheets/d/1SX6NBoVAgQJ6U1MVXOaj8PK2l7WJ3RER9xtqwdhxkhw/edit?usp=sharing"",""นครปฐม!J86"")"),0)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IFERROR(__xludf.DUMMYFUNCTION("IMPORTRANGE(""https://docs.google.com/spreadsheets/d/1SX6NBoVAgQJ6U1MVXOaj8PK2l7WJ3RER9xtqwdhxkhw/edit?usp=sharing"",""นครปฐม!J87"")"),0)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IFERROR(__xludf.DUMMYFUNCTION("IMPORTRANGE(""https://docs.google.com/spreadsheets/d/1SX6NBoVAgQJ6U1MVXOaj8PK2l7WJ3RER9xtqwdhxkhw/edit?usp=sharing"",""นครปฐม!J88"")"),0)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IFERROR(__xludf.DUMMYFUNCTION("IMPORTRANGE(""https://docs.google.com/spreadsheets/d/1SX6NBoVAgQJ6U1MVXOaj8PK2l7WJ3RER9xtqwdhxkhw/edit?usp=sharing"",""นครปฐม!I89"")"),3)</f>
        <v>3</v>
      </c>
      <c r="J164" s="284">
        <f ca="1">IFERROR(__xludf.DUMMYFUNCTION("IMPORTRANGE(""https://docs.google.com/spreadsheets/d/1SX6NBoVAgQJ6U1MVXOaj8PK2l7WJ3RER9xtqwdhxkhw/edit?usp=sharing"",""นครปฐม!J89"")"),3)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IFERROR(__xludf.DUMMYFUNCTION("IMPORTRANGE(""https://docs.google.com/spreadsheets/d/1SX6NBoVAgQJ6U1MVXOaj8PK2l7WJ3RER9xtqwdhxkhw/edit?usp=sharing"",""นครปฐม!J94"")"),0)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IFERROR(__xludf.DUMMYFUNCTION("IMPORTRANGE(""https://docs.google.com/spreadsheets/d/1SX6NBoVAgQJ6U1MVXOaj8PK2l7WJ3RER9xtqwdhxkhw/edit?usp=sharing"",""นครปฐม!J95"")"),1)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IFERROR(__xludf.DUMMYFUNCTION("IMPORTRANGE(""https://docs.google.com/spreadsheets/d/1SX6NBoVAgQJ6U1MVXOaj8PK2l7WJ3RER9xtqwdhxkhw/edit?usp=sharing"",""นครปฐม!J96"")"),1)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IFERROR(__xludf.DUMMYFUNCTION("IMPORTRANGE(""https://docs.google.com/spreadsheets/d/1SX6NBoVAgQJ6U1MVXOaj8PK2l7WJ3RER9xtqwdhxkhw/edit?usp=sharing"",""นครปฐม!J97"")"),1)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IFERROR(__xludf.DUMMYFUNCTION("IMPORTRANGE(""https://docs.google.com/spreadsheets/d/1SX6NBoVAgQJ6U1MVXOaj8PK2l7WJ3RER9xtqwdhxkhw/edit?usp=sharing"",""นครปฐม!I98"")"),3)</f>
        <v>3</v>
      </c>
      <c r="J173" s="190">
        <f ca="1">IFERROR(__xludf.DUMMYFUNCTION("IMPORTRANGE(""https://docs.google.com/spreadsheets/d/1SX6NBoVAgQJ6U1MVXOaj8PK2l7WJ3RER9xtqwdhxkhw/edit?usp=sharing"",""นครปฐม!J98"")"),3)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IFERROR(__xludf.DUMMYFUNCTION("IMPORTRANGE(""https://docs.google.com/spreadsheets/d/1SX6NBoVAgQJ6U1MVXOaj8PK2l7WJ3RER9xtqwdhxkhw/edit?usp=sharing"",""นครปฐม!J99"")"),0)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IFERROR(__xludf.DUMMYFUNCTION("IMPORTRANGE(""https://docs.google.com/spreadsheets/d/1SX6NBoVAgQJ6U1MVXOaj8PK2l7WJ3RER9xtqwdhxkhw/edit?usp=sharing"",""นครปฐม!J100"")"),0)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IFERROR(__xludf.DUMMYFUNCTION("IMPORTRANGE(""https://docs.google.com/spreadsheets/d/1SX6NBoVAgQJ6U1MVXOaj8PK2l7WJ3RER9xtqwdhxkhw/edit?usp=sharing"",""นครปฐม!I101"")"),0)</f>
        <v>0</v>
      </c>
      <c r="J176" s="284">
        <f ca="1">IFERROR(__xludf.DUMMYFUNCTION("IMPORTRANGE(""https://docs.google.com/spreadsheets/d/1SX6NBoVAgQJ6U1MVXOaj8PK2l7WJ3RER9xtqwdhxkhw/edit?usp=sharing"",""นครปฐม!J101"")"),0)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IFERROR(__xludf.DUMMYFUNCTION("IMPORTRANGE(""https://docs.google.com/spreadsheets/d/1SX6NBoVAgQJ6U1MVXOaj8PK2l7WJ3RER9xtqwdhxkhw/edit?usp=sharing"",""นครปฐม!I110"")"),0)</f>
        <v>0</v>
      </c>
      <c r="J185" s="205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IFERROR(__xludf.DUMMYFUNCTION("IMPORTRANGE(""https://docs.google.com/spreadsheets/d/1SX6NBoVAgQJ6U1MVXOaj8PK2l7WJ3RER9xtqwdhxkhw/edit?usp=sharing"",""นครปฐม!I111"")"),0)</f>
        <v>0</v>
      </c>
      <c r="J186" s="205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IFERROR(__xludf.DUMMYFUNCTION("IMPORTRANGE(""https://docs.google.com/spreadsheets/d/1SX6NBoVAgQJ6U1MVXOaj8PK2l7WJ3RER9xtqwdhxkhw/edit?usp=sharing"",""นครปฐม!I114"")"),5000)</f>
        <v>5000</v>
      </c>
      <c r="J189" s="284">
        <f ca="1">IFERROR(__xludf.DUMMYFUNCTION("IMPORTRANGE(""https://docs.google.com/spreadsheets/d/1SX6NBoVAgQJ6U1MVXOaj8PK2l7WJ3RER9xtqwdhxkhw/edit?usp=sharing"",""นครปฐม!J114"")"),0)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IFERROR(__xludf.DUMMYFUNCTION("IMPORTRANGE(""https://docs.google.com/spreadsheets/d/1SX6NBoVAgQJ6U1MVXOaj8PK2l7WJ3RER9xtqwdhxkhw/edit?usp=sharing"",""นครปฐม!J119"")"),0)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IFERROR(__xludf.DUMMYFUNCTION("IMPORTRANGE(""https://docs.google.com/spreadsheets/d/1SX6NBoVAgQJ6U1MVXOaj8PK2l7WJ3RER9xtqwdhxkhw/edit?usp=sharing"",""นครปฐม!J120"")"),1)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IFERROR(__xludf.DUMMYFUNCTION("IMPORTRANGE(""https://docs.google.com/spreadsheets/d/1SX6NBoVAgQJ6U1MVXOaj8PK2l7WJ3RER9xtqwdhxkhw/edit?usp=sharing"",""นครปฐม!J121"")"),1)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IFERROR(__xludf.DUMMYFUNCTION("IMPORTRANGE(""https://docs.google.com/spreadsheets/d/1SX6NBoVAgQJ6U1MVXOaj8PK2l7WJ3RER9xtqwdhxkhw/edit?usp=sharing"",""นครปฐม!J122"")"),1)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IFERROR(__xludf.DUMMYFUNCTION("IMPORTRANGE(""https://docs.google.com/spreadsheets/d/1SX6NBoVAgQJ6U1MVXOaj8PK2l7WJ3RER9xtqwdhxkhw/edit?usp=sharing"",""นครปฐม!I124"")"),5000)</f>
        <v>5000</v>
      </c>
      <c r="J199" s="190">
        <f ca="1">IFERROR(__xludf.DUMMYFUNCTION("IMPORTRANGE(""https://docs.google.com/spreadsheets/d/1SX6NBoVAgQJ6U1MVXOaj8PK2l7WJ3RER9xtqwdhxkhw/edit?usp=sharing"",""นครปฐม!J124"")"),0)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IFERROR(__xludf.DUMMYFUNCTION("IMPORTRANGE(""https://docs.google.com/spreadsheets/d/1SX6NBoVAgQJ6U1MVXOaj8PK2l7WJ3RER9xtqwdhxkhw/edit?usp=sharing"",""นครปฐม!I125"")"),5000)</f>
        <v>5000</v>
      </c>
      <c r="J200" s="190">
        <f ca="1">IFERROR(__xludf.DUMMYFUNCTION("IMPORTRANGE(""https://docs.google.com/spreadsheets/d/1SX6NBoVAgQJ6U1MVXOaj8PK2l7WJ3RER9xtqwdhxkhw/edit?usp=sharing"",""นครปฐม!J125"")"),0)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IFERROR(__xludf.DUMMYFUNCTION("IMPORTRANGE(""https://docs.google.com/spreadsheets/d/1SX6NBoVAgQJ6U1MVXOaj8PK2l7WJ3RER9xtqwdhxkhw/edit?usp=sharing"",""นครปฐม!I126"")"),0)</f>
        <v>0</v>
      </c>
      <c r="J201" s="190">
        <f ca="1">IFERROR(__xludf.DUMMYFUNCTION("IMPORTRANGE(""https://docs.google.com/spreadsheets/d/1SX6NBoVAgQJ6U1MVXOaj8PK2l7WJ3RER9xtqwdhxkhw/edit?usp=sharing"",""นครปฐม!J126"")"),0)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IFERROR(__xludf.DUMMYFUNCTION("IMPORTRANGE(""https://docs.google.com/spreadsheets/d/1SX6NBoVAgQJ6U1MVXOaj8PK2l7WJ3RER9xtqwdhxkhw/edit?usp=sharing"",""นครปฐม!J127"")"),0)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IFERROR(__xludf.DUMMYFUNCTION("IMPORTRANGE(""https://docs.google.com/spreadsheets/d/1SX6NBoVAgQJ6U1MVXOaj8PK2l7WJ3RER9xtqwdhxkhw/edit?usp=sharing"",""นครปฐม!J128"")"),0)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IFERROR(__xludf.DUMMYFUNCTION("IMPORTRANGE(""https://docs.google.com/spreadsheets/d/1SX6NBoVAgQJ6U1MVXOaj8PK2l7WJ3RER9xtqwdhxkhw/edit?usp=sharing"",""นครปฐม!I129"")"),20)</f>
        <v>20</v>
      </c>
      <c r="J204" s="284">
        <f ca="1">IFERROR(__xludf.DUMMYFUNCTION("IMPORTRANGE(""https://docs.google.com/spreadsheets/d/1SX6NBoVAgQJ6U1MVXOaj8PK2l7WJ3RER9xtqwdhxkhw/edit?usp=sharing"",""นครปฐม!J129"")"),20)</f>
        <v>20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IFERROR(__xludf.DUMMYFUNCTION("IMPORTRANGE(""https://docs.google.com/spreadsheets/d/1SX6NBoVAgQJ6U1MVXOaj8PK2l7WJ3RER9xtqwdhxkhw/edit?usp=sharing"",""นครปฐม!J135"")"),1)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IFERROR(__xludf.DUMMYFUNCTION("IMPORTRANGE(""https://docs.google.com/spreadsheets/d/1SX6NBoVAgQJ6U1MVXOaj8PK2l7WJ3RER9xtqwdhxkhw/edit?usp=sharing"",""นครปฐม!J136"")"),1)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IFERROR(__xludf.DUMMYFUNCTION("IMPORTRANGE(""https://docs.google.com/spreadsheets/d/1SX6NBoVAgQJ6U1MVXOaj8PK2l7WJ3RER9xtqwdhxkhw/edit?usp=sharing"",""นครปฐม!J137"")"),1)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IFERROR(__xludf.DUMMYFUNCTION("IMPORTRANGE(""https://docs.google.com/spreadsheets/d/1SX6NBoVAgQJ6U1MVXOaj8PK2l7WJ3RER9xtqwdhxkhw/edit?usp=sharing"",""นครปฐม!I138"")"),20)</f>
        <v>20</v>
      </c>
      <c r="J213" s="205">
        <f ca="1">IFERROR(__xludf.DUMMYFUNCTION("IMPORTRANGE(""https://docs.google.com/spreadsheets/d/1SX6NBoVAgQJ6U1MVXOaj8PK2l7WJ3RER9xtqwdhxkhw/edit?usp=sharing"",""นครปฐม!J138"")"),20)</f>
        <v>20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IFERROR(__xludf.DUMMYFUNCTION("IMPORTRANGE(""https://docs.google.com/spreadsheets/d/1SX6NBoVAgQJ6U1MVXOaj8PK2l7WJ3RER9xtqwdhxkhw/edit?usp=sharing"",""นครปฐม!I140"")"),0)</f>
        <v>0</v>
      </c>
      <c r="J215" s="205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IFERROR(__xludf.DUMMYFUNCTION("IMPORTRANGE(""https://docs.google.com/spreadsheets/d/1SX6NBoVAgQJ6U1MVXOaj8PK2l7WJ3RER9xtqwdhxkhw/edit?usp=sharing"",""นครปฐม!I141"")"),1)</f>
        <v>1</v>
      </c>
      <c r="J216" s="205">
        <f ca="1">IFERROR(__xludf.DUMMYFUNCTION("IMPORTRANGE(""https://docs.google.com/spreadsheets/d/1SX6NBoVAgQJ6U1MVXOaj8PK2l7WJ3RER9xtqwdhxkhw/edit?usp=sharing"",""นครปฐม!J141"")"),0)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12" t="s">
        <v>17</v>
      </c>
      <c r="E220" s="513"/>
      <c r="F220" s="513"/>
      <c r="G220" s="513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169">
        <f ca="1">IFERROR(__xludf.DUMMYFUNCTION("IMPORTRANGE(""https://docs.google.com/spreadsheets/d/1Yj_ptqi66GCucihVvJfMjLAmec39IyEx_6qawtMGysU/edit?usp=sharing"",""สบก!BS66"")"),19295)</f>
        <v>19295</v>
      </c>
      <c r="N224" s="170">
        <f ca="1">IFERROR(__xludf.DUMMYFUNCTION("IMPORTRANGE(""https://docs.google.com/spreadsheets/d/1Yj_ptqi66GCucihVvJfMjLAmec39IyEx_6qawtMGysU/edit?usp=sharing"",""สบก!BT66"")"),19295)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IFERROR(__xludf.DUMMYFUNCTION("IMPORTRANGE(""https://docs.google.com/spreadsheets/d/1Yj_ptqi66GCucihVvJfMjLAmec39IyEx_6qawtMGysU/edit?usp=sharing"",""สบก!BO66"")"),0)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IFERROR(__xludf.DUMMYFUNCTION("IMPORTRANGE(""https://docs.google.com/spreadsheets/d/1Yj_ptqi66GCucihVvJfMjLAmec39IyEx_6qawtMGysU/edit?usp=sharing"",""สบก!BP66"")"),19295)</f>
        <v>19295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14" t="s">
        <v>23</v>
      </c>
      <c r="E227" s="515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IFERROR(__xludf.DUMMYFUNCTION("IMPORTRANGE(""https://docs.google.com/spreadsheets/d/1SX6NBoVAgQJ6U1MVXOaj8PK2l7WJ3RER9xtqwdhxkhw/edit?usp=sharing"",""นครปฐม!J151"")"),0)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IFERROR(__xludf.DUMMYFUNCTION("IMPORTRANGE(""https://docs.google.com/spreadsheets/d/1SX6NBoVAgQJ6U1MVXOaj8PK2l7WJ3RER9xtqwdhxkhw/edit?usp=sharing"",""นครปฐม!J152"")"),1)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IFERROR(__xludf.DUMMYFUNCTION("IMPORTRANGE(""https://docs.google.com/spreadsheets/d/1SX6NBoVAgQJ6U1MVXOaj8PK2l7WJ3RER9xtqwdhxkhw/edit?usp=sharing"",""นครปฐม!J153"")"),1)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IFERROR(__xludf.DUMMYFUNCTION("IMPORTRANGE(""https://docs.google.com/spreadsheets/d/1SX6NBoVAgQJ6U1MVXOaj8PK2l7WJ3RER9xtqwdhxkhw/edit?usp=sharing"",""นครปฐม!J154"")"),1)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IFERROR(__xludf.DUMMYFUNCTION("IMPORTRANGE(""https://docs.google.com/spreadsheets/d/1SX6NBoVAgQJ6U1MVXOaj8PK2l7WJ3RER9xtqwdhxkhw/edit?usp=sharing"",""นครปฐม!I155"")"),13)</f>
        <v>13</v>
      </c>
      <c r="J235" s="190">
        <f ca="1">IFERROR(__xludf.DUMMYFUNCTION("IMPORTRANGE(""https://docs.google.com/spreadsheets/d/1SX6NBoVAgQJ6U1MVXOaj8PK2l7WJ3RER9xtqwdhxkhw/edit?usp=sharing"",""นครปฐม!J155"")"),13)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IFERROR(__xludf.DUMMYFUNCTION("IMPORTRANGE(""https://docs.google.com/spreadsheets/d/1SX6NBoVAgQJ6U1MVXOaj8PK2l7WJ3RER9xtqwdhxkhw/edit?usp=sharing"",""นครปฐม!J156"")"),0)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IFERROR(__xludf.DUMMYFUNCTION("IMPORTRANGE(""https://docs.google.com/spreadsheets/d/1SX6NBoVAgQJ6U1MVXOaj8PK2l7WJ3RER9xtqwdhxkhw/edit?usp=sharing"",""นครปฐม!J157"")"),0)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IFERROR(__xludf.DUMMYFUNCTION("IMPORTRANGE(""https://docs.google.com/spreadsheets/d/1SX6NBoVAgQJ6U1MVXOaj8PK2l7WJ3RER9xtqwdhxkhw/edit?usp=sharing"",""นครปฐม!J159"")"),"")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IFERROR(__xludf.DUMMYFUNCTION("IMPORTRANGE(""https://docs.google.com/spreadsheets/d/1SX6NBoVAgQJ6U1MVXOaj8PK2l7WJ3RER9xtqwdhxkhw/edit?usp=sharing"",""นครปฐม!J161"")"),0)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IFERROR(__xludf.DUMMYFUNCTION("IMPORTRANGE(""https://docs.google.com/spreadsheets/d/1SX6NBoVAgQJ6U1MVXOaj8PK2l7WJ3RER9xtqwdhxkhw/edit?usp=sharing"",""นครปฐม!J162"")"),0)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IFERROR(__xludf.DUMMYFUNCTION("IMPORTRANGE(""https://docs.google.com/spreadsheets/d/1SX6NBoVAgQJ6U1MVXOaj8PK2l7WJ3RER9xtqwdhxkhw/edit?usp=sharing"",""นครปฐม!J163"")"),0)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IFERROR(__xludf.DUMMYFUNCTION("IMPORTRANGE(""https://docs.google.com/spreadsheets/d/1SX6NBoVAgQJ6U1MVXOaj8PK2l7WJ3RER9xtqwdhxkhw/edit?usp=sharing"",""นครปฐม!I164"")"),0)</f>
        <v>0</v>
      </c>
      <c r="J244" s="189">
        <f ca="1">IFERROR(__xludf.DUMMYFUNCTION("IMPORTRANGE(""https://docs.google.com/spreadsheets/d/1SX6NBoVAgQJ6U1MVXOaj8PK2l7WJ3RER9xtqwdhxkhw/edit?usp=sharing"",""นครปฐม!J164"")"),0)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IFERROR(__xludf.DUMMYFUNCTION("IMPORTRANGE(""https://docs.google.com/spreadsheets/d/1SX6NBoVAgQJ6U1MVXOaj8PK2l7WJ3RER9xtqwdhxkhw/edit?usp=sharing"",""นครปฐม!J165"")"),0)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IFERROR(__xludf.DUMMYFUNCTION("IMPORTRANGE(""https://docs.google.com/spreadsheets/d/1SX6NBoVAgQJ6U1MVXOaj8PK2l7WJ3RER9xtqwdhxkhw/edit?usp=sharing"",""นครปฐม!I169"")"),0)</f>
        <v>0</v>
      </c>
      <c r="J249" s="316">
        <f ca="1">IFERROR(__xludf.DUMMYFUNCTION("IMPORTRANGE(""https://docs.google.com/spreadsheets/d/1SX6NBoVAgQJ6U1MVXOaj8PK2l7WJ3RER9xtqwdhxkhw/edit?usp=sharing"",""นครปฐม!J169"")"),0)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12" t="s">
        <v>17</v>
      </c>
      <c r="E250" s="513"/>
      <c r="F250" s="513"/>
      <c r="G250" s="513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IFERROR(__xludf.DUMMYFUNCTION("IMPORTRANGE(""https://docs.google.com/spreadsheets/d/1Yj_ptqi66GCucihVvJfMjLAmec39IyEx_6qawtMGysU/edit?usp=sharing"",""สบก!CB66"")"),0)</f>
        <v>0</v>
      </c>
      <c r="N254" s="170">
        <f ca="1">IFERROR(__xludf.DUMMYFUNCTION("IMPORTRANGE(""https://docs.google.com/spreadsheets/d/1Yj_ptqi66GCucihVvJfMjLAmec39IyEx_6qawtMGysU/edit?usp=sharing"",""สบก!CC66"")"),0)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IFERROR(__xludf.DUMMYFUNCTION("IMPORTRANGE(""https://docs.google.com/spreadsheets/d/1Yj_ptqi66GCucihVvJfMjLAmec39IyEx_6qawtMGysU/edit?usp=sharing"",""สบก!BX66"")"),0)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IFERROR(__xludf.DUMMYFUNCTION("IMPORTRANGE(""https://docs.google.com/spreadsheets/d/1Yj_ptqi66GCucihVvJfMjLAmec39IyEx_6qawtMGysU/edit?usp=sharing"",""สบก!BY66"")"),0)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14" t="s">
        <v>23</v>
      </c>
      <c r="E257" s="515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IFERROR(__xludf.DUMMYFUNCTION("IMPORTRANGE(""https://docs.google.com/spreadsheets/d/1SX6NBoVAgQJ6U1MVXOaj8PK2l7WJ3RER9xtqwdhxkhw/edit?usp=sharing"",""นครปฐม!J175"")"),0)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IFERROR(__xludf.DUMMYFUNCTION("IMPORTRANGE(""https://docs.google.com/spreadsheets/d/1SX6NBoVAgQJ6U1MVXOaj8PK2l7WJ3RER9xtqwdhxkhw/edit?usp=sharing"",""นครปฐม!J176"")"),0)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IFERROR(__xludf.DUMMYFUNCTION("IMPORTRANGE(""https://docs.google.com/spreadsheets/d/1SX6NBoVAgQJ6U1MVXOaj8PK2l7WJ3RER9xtqwdhxkhw/edit?usp=sharing"",""นครปฐม!J177"")"),0)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IFERROR(__xludf.DUMMYFUNCTION("IMPORTRANGE(""https://docs.google.com/spreadsheets/d/1SX6NBoVAgQJ6U1MVXOaj8PK2l7WJ3RER9xtqwdhxkhw/edit?usp=sharing"",""นครปฐม!J178"")"),0)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IFERROR(__xludf.DUMMYFUNCTION("IMPORTRANGE(""https://docs.google.com/spreadsheets/d/1SX6NBoVAgQJ6U1MVXOaj8PK2l7WJ3RER9xtqwdhxkhw/edit?usp=sharing"",""นครปฐม!I179"")"),0)</f>
        <v>0</v>
      </c>
      <c r="J264" s="190">
        <f ca="1">IFERROR(__xludf.DUMMYFUNCTION("IMPORTRANGE(""https://docs.google.com/spreadsheets/d/1SX6NBoVAgQJ6U1MVXOaj8PK2l7WJ3RER9xtqwdhxkhw/edit?usp=sharing"",""นครปฐม!J179"")"),0)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IFERROR(__xludf.DUMMYFUNCTION("IMPORTRANGE(""https://docs.google.com/spreadsheets/d/1SX6NBoVAgQJ6U1MVXOaj8PK2l7WJ3RER9xtqwdhxkhw/edit?usp=sharing"",""นครปฐม!I180"")"),0)</f>
        <v>0</v>
      </c>
      <c r="J265" s="190">
        <f ca="1">IFERROR(__xludf.DUMMYFUNCTION("IMPORTRANGE(""https://docs.google.com/spreadsheets/d/1SX6NBoVAgQJ6U1MVXOaj8PK2l7WJ3RER9xtqwdhxkhw/edit?usp=sharing"",""นครปฐม!J180"")"),0)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IFERROR(__xludf.DUMMYFUNCTION("IMPORTRANGE(""https://docs.google.com/spreadsheets/d/1SX6NBoVAgQJ6U1MVXOaj8PK2l7WJ3RER9xtqwdhxkhw/edit?usp=sharing"",""นครปฐม!I181"")"),0)</f>
        <v>0</v>
      </c>
      <c r="J266" s="190">
        <f ca="1">IFERROR(__xludf.DUMMYFUNCTION("IMPORTRANGE(""https://docs.google.com/spreadsheets/d/1SX6NBoVAgQJ6U1MVXOaj8PK2l7WJ3RER9xtqwdhxkhw/edit?usp=sharing"",""นครปฐม!J181"")"),0)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IFERROR(__xludf.DUMMYFUNCTION("IMPORTRANGE(""https://docs.google.com/spreadsheets/d/1SX6NBoVAgQJ6U1MVXOaj8PK2l7WJ3RER9xtqwdhxkhw/edit?usp=sharing"",""นครปฐม!I182"")"),0)</f>
        <v>0</v>
      </c>
      <c r="J267" s="190">
        <f ca="1">IFERROR(__xludf.DUMMYFUNCTION("IMPORTRANGE(""https://docs.google.com/spreadsheets/d/1SX6NBoVAgQJ6U1MVXOaj8PK2l7WJ3RER9xtqwdhxkhw/edit?usp=sharing"",""นครปฐม!J182"")"),0)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IFERROR(__xludf.DUMMYFUNCTION("IMPORTRANGE(""https://docs.google.com/spreadsheets/d/1SX6NBoVAgQJ6U1MVXOaj8PK2l7WJ3RER9xtqwdhxkhw/edit?usp=sharing"",""นครปฐม!J183"")"),0)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IFERROR(__xludf.DUMMYFUNCTION("IMPORTRANGE(""https://docs.google.com/spreadsheets/d/1SX6NBoVAgQJ6U1MVXOaj8PK2l7WJ3RER9xtqwdhxkhw/edit?usp=sharing"",""นครปฐม!J184"")"),0)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IFERROR(__xludf.DUMMYFUNCTION("IMPORTRANGE(""https://docs.google.com/spreadsheets/d/1SX6NBoVAgQJ6U1MVXOaj8PK2l7WJ3RER9xtqwdhxkhw/edit?usp=sharing"",""นครปฐม!I185"")"),0)</f>
        <v>0</v>
      </c>
      <c r="J270" s="316">
        <f ca="1">IFERROR(__xludf.DUMMYFUNCTION("IMPORTRANGE(""https://docs.google.com/spreadsheets/d/1SX6NBoVAgQJ6U1MVXOaj8PK2l7WJ3RER9xtqwdhxkhw/edit?usp=sharing"",""นครปฐม!J185"")"),0)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12" t="s">
        <v>17</v>
      </c>
      <c r="E271" s="513"/>
      <c r="F271" s="513"/>
      <c r="G271" s="513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IFERROR(__xludf.DUMMYFUNCTION("IMPORTRANGE(""https://docs.google.com/spreadsheets/d/1Yj_ptqi66GCucihVvJfMjLAmec39IyEx_6qawtMGysU/edit?usp=sharing"",""สบก!CK66"")"),0)</f>
        <v>0</v>
      </c>
      <c r="N275" s="170">
        <f ca="1">IFERROR(__xludf.DUMMYFUNCTION("IMPORTRANGE(""https://docs.google.com/spreadsheets/d/1Yj_ptqi66GCucihVvJfMjLAmec39IyEx_6qawtMGysU/edit?usp=sharing"",""สบก!CL66"")"),0)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IFERROR(__xludf.DUMMYFUNCTION("IMPORTRANGE(""https://docs.google.com/spreadsheets/d/1Yj_ptqi66GCucihVvJfMjLAmec39IyEx_6qawtMGysU/edit?usp=sharing"",""สบก!CG66"")"),0)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IFERROR(__xludf.DUMMYFUNCTION("IMPORTRANGE(""https://docs.google.com/spreadsheets/d/1Yj_ptqi66GCucihVvJfMjLAmec39IyEx_6qawtMGysU/edit?usp=sharing"",""สบก!CH66"")"),0)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14" t="s">
        <v>23</v>
      </c>
      <c r="E278" s="515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IFERROR(__xludf.DUMMYFUNCTION("IMPORTRANGE(""https://docs.google.com/spreadsheets/d/1SX6NBoVAgQJ6U1MVXOaj8PK2l7WJ3RER9xtqwdhxkhw/edit?usp=sharing"",""นครปฐม!J191"")"),0)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IFERROR(__xludf.DUMMYFUNCTION("IMPORTRANGE(""https://docs.google.com/spreadsheets/d/1SX6NBoVAgQJ6U1MVXOaj8PK2l7WJ3RER9xtqwdhxkhw/edit?usp=sharing"",""นครปฐม!J192"")"),0)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IFERROR(__xludf.DUMMYFUNCTION("IMPORTRANGE(""https://docs.google.com/spreadsheets/d/1SX6NBoVAgQJ6U1MVXOaj8PK2l7WJ3RER9xtqwdhxkhw/edit?usp=sharing"",""นครปฐม!J193"")"),0)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IFERROR(__xludf.DUMMYFUNCTION("IMPORTRANGE(""https://docs.google.com/spreadsheets/d/1SX6NBoVAgQJ6U1MVXOaj8PK2l7WJ3RER9xtqwdhxkhw/edit?usp=sharing"",""นครปฐม!J194"")"),0)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IFERROR(__xludf.DUMMYFUNCTION("IMPORTRANGE(""https://docs.google.com/spreadsheets/d/1SX6NBoVAgQJ6U1MVXOaj8PK2l7WJ3RER9xtqwdhxkhw/edit?usp=sharing"",""นครปฐม!I195"")"),0)</f>
        <v>0</v>
      </c>
      <c r="J285" s="190">
        <f ca="1">IFERROR(__xludf.DUMMYFUNCTION("IMPORTRANGE(""https://docs.google.com/spreadsheets/d/1SX6NBoVAgQJ6U1MVXOaj8PK2l7WJ3RER9xtqwdhxkhw/edit?usp=sharing"",""นครปฐม!J195"")"),0)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IFERROR(__xludf.DUMMYFUNCTION("IMPORTRANGE(""https://docs.google.com/spreadsheets/d/1SX6NBoVAgQJ6U1MVXOaj8PK2l7WJ3RER9xtqwdhxkhw/edit?usp=sharing"",""นครปฐม!J196"")"),0)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IFERROR(__xludf.DUMMYFUNCTION("IMPORTRANGE(""https://docs.google.com/spreadsheets/d/1SX6NBoVAgQJ6U1MVXOaj8PK2l7WJ3RER9xtqwdhxkhw/edit?usp=sharing"",""นครปฐม!I199"")"),0)</f>
        <v>0</v>
      </c>
      <c r="J289" s="316">
        <f ca="1">IFERROR(__xludf.DUMMYFUNCTION("IMPORTRANGE(""https://docs.google.com/spreadsheets/d/1SX6NBoVAgQJ6U1MVXOaj8PK2l7WJ3RER9xtqwdhxkhw/edit?usp=sharing"",""นครปฐม!J199"")"),0)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12" t="s">
        <v>17</v>
      </c>
      <c r="E290" s="513"/>
      <c r="F290" s="513"/>
      <c r="G290" s="513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IFERROR(__xludf.DUMMYFUNCTION("IMPORTRANGE(""https://docs.google.com/spreadsheets/d/1Yj_ptqi66GCucihVvJfMjLAmec39IyEx_6qawtMGysU/edit?usp=sharing"",""สบก!CT66"")"),0)</f>
        <v>0</v>
      </c>
      <c r="N294" s="170">
        <f ca="1">IFERROR(__xludf.DUMMYFUNCTION("IMPORTRANGE(""https://docs.google.com/spreadsheets/d/1Yj_ptqi66GCucihVvJfMjLAmec39IyEx_6qawtMGysU/edit?usp=sharing"",""สบก!CU66"")"),0)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IFERROR(__xludf.DUMMYFUNCTION("IMPORTRANGE(""https://docs.google.com/spreadsheets/d/1Yj_ptqi66GCucihVvJfMjLAmec39IyEx_6qawtMGysU/edit?usp=sharing"",""สบก!CP66"")"),0)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IFERROR(__xludf.DUMMYFUNCTION("IMPORTRANGE(""https://docs.google.com/spreadsheets/d/1Yj_ptqi66GCucihVvJfMjLAmec39IyEx_6qawtMGysU/edit?usp=sharing"",""สบก!CQ66"")"),0)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14" t="s">
        <v>23</v>
      </c>
      <c r="E297" s="515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IFERROR(__xludf.DUMMYFUNCTION("IMPORTRANGE(""https://docs.google.com/spreadsheets/d/1SX6NBoVAgQJ6U1MVXOaj8PK2l7WJ3RER9xtqwdhxkhw/edit?usp=sharing"",""นครปฐม!I209"")"),0)</f>
        <v>0</v>
      </c>
      <c r="J304" s="205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IFERROR(__xludf.DUMMYFUNCTION("IMPORTRANGE(""https://docs.google.com/spreadsheets/d/1SX6NBoVAgQJ6U1MVXOaj8PK2l7WJ3RER9xtqwdhxkhw/edit?usp=sharing"",""นครปฐม!I211"")"),0)</f>
        <v>0</v>
      </c>
      <c r="J306" s="205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IFERROR(__xludf.DUMMYFUNCTION("IMPORTRANGE(""https://docs.google.com/spreadsheets/d/1SX6NBoVAgQJ6U1MVXOaj8PK2l7WJ3RER9xtqwdhxkhw/edit?usp=sharing"",""นครปฐม!I214"")"),0)</f>
        <v>0</v>
      </c>
      <c r="J309" s="333">
        <f ca="1">IFERROR(__xludf.DUMMYFUNCTION("IMPORTRANGE(""https://docs.google.com/spreadsheets/d/1SX6NBoVAgQJ6U1MVXOaj8PK2l7WJ3RER9xtqwdhxkhw/edit?usp=sharing"",""นครปฐม!J214"")"),0)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12" t="s">
        <v>17</v>
      </c>
      <c r="E310" s="513"/>
      <c r="F310" s="513"/>
      <c r="G310" s="513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IFERROR(__xludf.DUMMYFUNCTION("IMPORTRANGE(""https://docs.google.com/spreadsheets/d/1Yj_ptqi66GCucihVvJfMjLAmec39IyEx_6qawtMGysU/edit?usp=sharing"",""สบก!DC66"")"),0)</f>
        <v>0</v>
      </c>
      <c r="N314" s="170">
        <f ca="1">IFERROR(__xludf.DUMMYFUNCTION("IMPORTRANGE(""https://docs.google.com/spreadsheets/d/1Yj_ptqi66GCucihVvJfMjLAmec39IyEx_6qawtMGysU/edit?usp=sharing"",""สบก!DD66"")"),0)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IFERROR(__xludf.DUMMYFUNCTION("IMPORTRANGE(""https://docs.google.com/spreadsheets/d/1Yj_ptqi66GCucihVvJfMjLAmec39IyEx_6qawtMGysU/edit?usp=sharing"",""สบก!CY66"")"),0)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IFERROR(__xludf.DUMMYFUNCTION("IMPORTRANGE(""https://docs.google.com/spreadsheets/d/1Yj_ptqi66GCucihVvJfMjLAmec39IyEx_6qawtMGysU/edit?usp=sharing"",""สบก!CZ66"")"),0)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14" t="s">
        <v>23</v>
      </c>
      <c r="E317" s="515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IFERROR(__xludf.DUMMYFUNCTION("IMPORTRANGE(""https://docs.google.com/spreadsheets/d/1SX6NBoVAgQJ6U1MVXOaj8PK2l7WJ3RER9xtqwdhxkhw/edit?usp=sharing"",""นครปฐม!I224"")"),0)</f>
        <v>0</v>
      </c>
      <c r="J324" s="205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IFERROR(__xludf.DUMMYFUNCTION("IMPORTRANGE(""https://docs.google.com/spreadsheets/d/1SX6NBoVAgQJ6U1MVXOaj8PK2l7WJ3RER9xtqwdhxkhw/edit?usp=sharing"",""นครปฐม!I228"")"),0)</f>
        <v>0</v>
      </c>
      <c r="J328" s="339">
        <f ca="1">IFERROR(__xludf.DUMMYFUNCTION("IMPORTRANGE(""https://docs.google.com/spreadsheets/d/1SX6NBoVAgQJ6U1MVXOaj8PK2l7WJ3RER9xtqwdhxkhw/edit?usp=sharing"",""นครปฐม!J228"")"),0)</f>
        <v>0</v>
      </c>
      <c r="K328" s="317">
        <f ca="1">IF(I328&gt;0,J328*100/I328,0)</f>
        <v>0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12" t="s">
        <v>17</v>
      </c>
      <c r="E329" s="513"/>
      <c r="F329" s="513"/>
      <c r="G329" s="513"/>
      <c r="H329" s="149" t="s">
        <v>12</v>
      </c>
      <c r="I329" s="164"/>
      <c r="J329" s="164"/>
      <c r="K329" s="165"/>
      <c r="L329" s="152">
        <f t="shared" ref="L329:N329" ca="1" si="98">L330+L331</f>
        <v>628660</v>
      </c>
      <c r="M329" s="152">
        <f t="shared" ca="1" si="98"/>
        <v>385610</v>
      </c>
      <c r="N329" s="152">
        <f t="shared" ca="1" si="98"/>
        <v>311550</v>
      </c>
      <c r="O329" s="151">
        <f t="shared" ref="O329:O331" ca="1" si="99">IF(L329&gt;0,N329*100/L329,0)</f>
        <v>49.557789584194957</v>
      </c>
      <c r="P329" s="151">
        <f t="shared" ref="P329:P331" ca="1" si="100">IF(M329&gt;0,N329*100/M329,0)</f>
        <v>80.794066543917424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628660</v>
      </c>
      <c r="M331" s="157">
        <f t="shared" ca="1" si="102"/>
        <v>385610</v>
      </c>
      <c r="N331" s="157">
        <f t="shared" ca="1" si="102"/>
        <v>311550</v>
      </c>
      <c r="O331" s="156">
        <f t="shared" ca="1" si="99"/>
        <v>49.557789584194957</v>
      </c>
      <c r="P331" s="156">
        <f t="shared" ca="1" si="100"/>
        <v>80.794066543917424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486110</v>
      </c>
      <c r="M333" s="169">
        <f ca="1">IFERROR(__xludf.DUMMYFUNCTION("IMPORTRANGE(""https://docs.google.com/spreadsheets/d/1Yj_ptqi66GCucihVvJfMjLAmec39IyEx_6qawtMGysU/edit?usp=sharing"",""สบก!DL66"")"),243060)</f>
        <v>243060</v>
      </c>
      <c r="N333" s="170">
        <f ca="1">IFERROR(__xludf.DUMMYFUNCTION("IMPORTRANGE(""https://docs.google.com/spreadsheets/d/1Yj_ptqi66GCucihVvJfMjLAmec39IyEx_6qawtMGysU/edit?usp=sharing"",""สบก!DM66"")"),169000)</f>
        <v>169000</v>
      </c>
      <c r="O333" s="170">
        <f ca="1">IF(L333&gt;0,N333*100/L333,0)</f>
        <v>34.765793750385718</v>
      </c>
      <c r="P333" s="170">
        <f ca="1">IF(M333&gt;0,N333*100/M333,0)</f>
        <v>69.530157162840453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IFERROR(__xludf.DUMMYFUNCTION("IMPORTRANGE(""https://docs.google.com/spreadsheets/d/1Yj_ptqi66GCucihVvJfMjLAmec39IyEx_6qawtMGysU/edit?usp=sharing"",""สบก!DH66"")"),306000)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IFERROR(__xludf.DUMMYFUNCTION("IMPORTRANGE(""https://docs.google.com/spreadsheets/d/1Yj_ptqi66GCucihVvJfMjLAmec39IyEx_6qawtMGysU/edit?usp=sharing"",""สบก!DI66"")"),180110)</f>
        <v>180110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14" t="s">
        <v>23</v>
      </c>
      <c r="E336" s="515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IFERROR(__xludf.DUMMYFUNCTION("IMPORTRANGE(""https://docs.google.com/spreadsheets/d/1Yj_ptqi66GCucihVvJfMjLAmec39IyEx_6qawtMGysU/edit?usp=sharing"",""สบก!DJ66"")"),142550)</f>
        <v>142550</v>
      </c>
      <c r="M337" s="49">
        <f ca="1">L337</f>
        <v>142550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IFERROR(__xludf.DUMMYFUNCTION("IMPORTRANGE(""https://docs.google.com/spreadsheets/d/1SX6NBoVAgQJ6U1MVXOaj8PK2l7WJ3RER9xtqwdhxkhw/edit?usp=sharing"",""นครปฐม!I234"")"),0)</f>
        <v>0</v>
      </c>
      <c r="J339" s="189">
        <f ca="1">IFERROR(__xludf.DUMMYFUNCTION("IMPORTRANGE(""https://docs.google.com/spreadsheets/d/1SX6NBoVAgQJ6U1MVXOaj8PK2l7WJ3RER9xtqwdhxkhw/edit?usp=sharing"",""นครปฐม!J234"")"),0)</f>
        <v>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IFERROR(__xludf.DUMMYFUNCTION("IMPORTRANGE(""https://docs.google.com/spreadsheets/d/1SX6NBoVAgQJ6U1MVXOaj8PK2l7WJ3RER9xtqwdhxkhw/edit?usp=sharing"",""นครปฐม!I235"")"),0)</f>
        <v>0</v>
      </c>
      <c r="J340" s="189">
        <f ca="1">IFERROR(__xludf.DUMMYFUNCTION("IMPORTRANGE(""https://docs.google.com/spreadsheets/d/1SX6NBoVAgQJ6U1MVXOaj8PK2l7WJ3RER9xtqwdhxkhw/edit?usp=sharing"",""นครปฐม!J235"")"),0)</f>
        <v>0</v>
      </c>
      <c r="K340" s="342">
        <f t="shared" ca="1" si="103"/>
        <v>0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IFERROR(__xludf.DUMMYFUNCTION("IMPORTRANGE(""https://docs.google.com/spreadsheets/d/1SX6NBoVAgQJ6U1MVXOaj8PK2l7WJ3RER9xtqwdhxkhw/edit?usp=sharing"",""นครปฐม!I236"")"),0)</f>
        <v>0</v>
      </c>
      <c r="J341" s="189">
        <f ca="1">IFERROR(__xludf.DUMMYFUNCTION("IMPORTRANGE(""https://docs.google.com/spreadsheets/d/1SX6NBoVAgQJ6U1MVXOaj8PK2l7WJ3RER9xtqwdhxkhw/edit?usp=sharing"",""นครปฐม!J236"")"),0)</f>
        <v>0</v>
      </c>
      <c r="K341" s="342">
        <f t="shared" ca="1" si="103"/>
        <v>0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9">
        <f ca="1">IFERROR(__xludf.DUMMYFUNCTION("IMPORTRANGE(""https://docs.google.com/spreadsheets/d/1SX6NBoVAgQJ6U1MVXOaj8PK2l7WJ3RER9xtqwdhxkhw/edit?usp=sharing"",""นครปฐม!J237"")"),0)</f>
        <v>0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IFERROR(__xludf.DUMMYFUNCTION("IMPORTRANGE(""https://docs.google.com/spreadsheets/d/1SX6NBoVAgQJ6U1MVXOaj8PK2l7WJ3RER9xtqwdhxkhw/edit?usp=sharing"",""นครปฐม!I238"")"),0)</f>
        <v>0</v>
      </c>
      <c r="J343" s="189">
        <f ca="1">IFERROR(__xludf.DUMMYFUNCTION("IMPORTRANGE(""https://docs.google.com/spreadsheets/d/1SX6NBoVAgQJ6U1MVXOaj8PK2l7WJ3RER9xtqwdhxkhw/edit?usp=sharing"",""นครปฐม!J238"")"),0)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9">
        <f ca="1">IFERROR(__xludf.DUMMYFUNCTION("IMPORTRANGE(""https://docs.google.com/spreadsheets/d/1SX6NBoVAgQJ6U1MVXOaj8PK2l7WJ3RER9xtqwdhxkhw/edit?usp=sharing"",""นครปฐม!J239"")"),0)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IFERROR(__xludf.DUMMYFUNCTION("IMPORTRANGE(""https://docs.google.com/spreadsheets/d/1SX6NBoVAgQJ6U1MVXOaj8PK2l7WJ3RER9xtqwdhxkhw/edit?usp=sharing"",""นครปฐม!I240"")"),0)</f>
        <v>0</v>
      </c>
      <c r="J345" s="189">
        <f ca="1">IFERROR(__xludf.DUMMYFUNCTION("IMPORTRANGE(""https://docs.google.com/spreadsheets/d/1SX6NBoVAgQJ6U1MVXOaj8PK2l7WJ3RER9xtqwdhxkhw/edit?usp=sharing"",""นครปฐม!J240"")"),0)</f>
        <v>0</v>
      </c>
      <c r="K345" s="342">
        <f t="shared" ca="1" si="103"/>
        <v>0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9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IFERROR(__xludf.DUMMYFUNCTION("IMPORTRANGE(""https://docs.google.com/spreadsheets/d/1SX6NBoVAgQJ6U1MVXOaj8PK2l7WJ3RER9xtqwdhxkhw/edit?usp=sharing"",""นครปฐม!L242"")"),359600)</f>
        <v>359600</v>
      </c>
      <c r="M347" s="358"/>
      <c r="N347" s="358">
        <f ca="1">IFERROR(__xludf.DUMMYFUNCTION("IMPORTRANGE(""https://docs.google.com/spreadsheets/d/1SX6NBoVAgQJ6U1MVXOaj8PK2l7WJ3RER9xtqwdhxkhw/edit?usp=sharing"",""นครปฐม!M242"")"),153611.7)</f>
        <v>153611.70000000001</v>
      </c>
      <c r="O347" s="358">
        <f ca="1">+IF(L347&gt;0,N347*100/L347,0)</f>
        <v>42.717380422691882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IFERROR(__xludf.DUMMYFUNCTION("IMPORTRANGE(""https://docs.google.com/spreadsheets/d/1SX6NBoVAgQJ6U1MVXOaj8PK2l7WJ3RER9xtqwdhxkhw/edit?usp=sharing"",""นครปฐม!L246"")"),0)</f>
        <v>0</v>
      </c>
      <c r="M351" s="166"/>
      <c r="N351" s="166">
        <f ca="1">IFERROR(__xludf.DUMMYFUNCTION("IMPORTRANGE(""https://docs.google.com/spreadsheets/d/1SX6NBoVAgQJ6U1MVXOaj8PK2l7WJ3RER9xtqwdhxkhw/edit?usp=sharing"",""นครปฐม!M246"")"),0)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IFERROR(__xludf.DUMMYFUNCTION("IMPORTRANGE(""https://docs.google.com/spreadsheets/d/1SX6NBoVAgQJ6U1MVXOaj8PK2l7WJ3RER9xtqwdhxkhw/edit?usp=sharing"",""นครปฐม!L247"")"),0)</f>
        <v>0</v>
      </c>
      <c r="M352" s="167"/>
      <c r="N352" s="166">
        <f ca="1">IFERROR(__xludf.DUMMYFUNCTION("IMPORTRANGE(""https://docs.google.com/spreadsheets/d/1SX6NBoVAgQJ6U1MVXOaj8PK2l7WJ3RER9xtqwdhxkhw/edit?usp=sharing"",""นครปฐม!M247"")"),0)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IFERROR(__xludf.DUMMYFUNCTION("IMPORTRANGE(""https://docs.google.com/spreadsheets/d/1SX6NBoVAgQJ6U1MVXOaj8PK2l7WJ3RER9xtqwdhxkhw/edit?usp=sharing"",""นครปฐม!L248"")"),0)</f>
        <v>0</v>
      </c>
      <c r="M353" s="170"/>
      <c r="N353" s="170">
        <f ca="1">IFERROR(__xludf.DUMMYFUNCTION("IMPORTRANGE(""https://docs.google.com/spreadsheets/d/1SX6NBoVAgQJ6U1MVXOaj8PK2l7WJ3RER9xtqwdhxkhw/edit?usp=sharing"",""นครปฐม!M248"")"),0)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IFERROR(__xludf.DUMMYFUNCTION("IMPORTRANGE(""https://docs.google.com/spreadsheets/d/1SX6NBoVAgQJ6U1MVXOaj8PK2l7WJ3RER9xtqwdhxkhw/edit?usp=sharing"",""นครปฐม!L249"")"),0)</f>
        <v>0</v>
      </c>
      <c r="M354" s="170"/>
      <c r="N354" s="169">
        <f ca="1">IFERROR(__xludf.DUMMYFUNCTION("IMPORTRANGE(""https://docs.google.com/spreadsheets/d/1SX6NBoVAgQJ6U1MVXOaj8PK2l7WJ3RER9xtqwdhxkhw/edit?usp=sharing"",""นครปฐม!M249"")"),0)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IFERROR(__xludf.DUMMYFUNCTION("IMPORTRANGE(""https://docs.google.com/spreadsheets/d/1SX6NBoVAgQJ6U1MVXOaj8PK2l7WJ3RER9xtqwdhxkhw/edit?usp=sharing"",""นครปฐม!J255"")"),0)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IFERROR(__xludf.DUMMYFUNCTION("IMPORTRANGE(""https://docs.google.com/spreadsheets/d/1SX6NBoVAgQJ6U1MVXOaj8PK2l7WJ3RER9xtqwdhxkhw/edit?usp=sharing"",""นครปฐม!J256"")"),0)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IFERROR(__xludf.DUMMYFUNCTION("IMPORTRANGE(""https://docs.google.com/spreadsheets/d/1SX6NBoVAgQJ6U1MVXOaj8PK2l7WJ3RER9xtqwdhxkhw/edit?usp=sharing"",""นครปฐม!J257"")"),0)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IFERROR(__xludf.DUMMYFUNCTION("IMPORTRANGE(""https://docs.google.com/spreadsheets/d/1SX6NBoVAgQJ6U1MVXOaj8PK2l7WJ3RER9xtqwdhxkhw/edit?usp=sharing"",""นครปฐม!J258"")"),0)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IFERROR(__xludf.DUMMYFUNCTION("IMPORTRANGE(""https://docs.google.com/spreadsheets/d/1SX6NBoVAgQJ6U1MVXOaj8PK2l7WJ3RER9xtqwdhxkhw/edit?usp=sharing"",""นครปฐม!J166"")"),0)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IFERROR(__xludf.DUMMYFUNCTION("IMPORTRANGE(""https://docs.google.com/spreadsheets/d/1SX6NBoVAgQJ6U1MVXOaj8PK2l7WJ3RER9xtqwdhxkhw/edit?usp=sharing"",""นครปฐม!J166"")"),0)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IFERROR(__xludf.DUMMYFUNCTION("IMPORTRANGE(""https://docs.google.com/spreadsheets/d/1SX6NBoVAgQJ6U1MVXOaj8PK2l7WJ3RER9xtqwdhxkhw/edit?usp=sharing"",""นครปฐม!J166"")"),0)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IFERROR(__xludf.DUMMYFUNCTION("IMPORTRANGE(""https://docs.google.com/spreadsheets/d/1SX6NBoVAgQJ6U1MVXOaj8PK2l7WJ3RER9xtqwdhxkhw/edit?usp=sharing"",""นครปฐม!J166"")"),0)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IFERROR(__xludf.DUMMYFUNCTION("IMPORTRANGE(""https://docs.google.com/spreadsheets/d/1SX6NBoVAgQJ6U1MVXOaj8PK2l7WJ3RER9xtqwdhxkhw/edit?usp=sharing"",""นครปฐม!I263"")"),0)</f>
        <v>0</v>
      </c>
      <c r="J368" s="189">
        <f ca="1">IFERROR(__xludf.DUMMYFUNCTION("IMPORTRANGE(""https://docs.google.com/spreadsheets/d/1SX6NBoVAgQJ6U1MVXOaj8PK2l7WJ3RER9xtqwdhxkhw/edit?usp=sharing"",""นครปฐม!J263"")"),0)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IFERROR(__xludf.DUMMYFUNCTION("IMPORTRANGE(""https://docs.google.com/spreadsheets/d/1SX6NBoVAgQJ6U1MVXOaj8PK2l7WJ3RER9xtqwdhxkhw/edit?usp=sharing"",""นครปฐม!I164"")"),0)</f>
        <v>0</v>
      </c>
      <c r="J369" s="205">
        <f ca="1">IFERROR(__xludf.DUMMYFUNCTION("IMPORTRANGE(""https://docs.google.com/spreadsheets/d/1SX6NBoVAgQJ6U1MVXOaj8PK2l7WJ3RER9xtqwdhxkhw/edit?usp=sharing"",""นครปฐม!J164"")"),0)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IFERROR(__xludf.DUMMYFUNCTION("IMPORTRANGE(""https://docs.google.com/spreadsheets/d/1SX6NBoVAgQJ6U1MVXOaj8PK2l7WJ3RER9xtqwdhxkhw/edit?usp=sharing"",""นครปฐม!I265"")"),0)</f>
        <v>0</v>
      </c>
      <c r="J370" s="205">
        <f ca="1">IFERROR(__xludf.DUMMYFUNCTION("IMPORTRANGE(""https://docs.google.com/spreadsheets/d/1SX6NBoVAgQJ6U1MVXOaj8PK2l7WJ3RER9xtqwdhxkhw/edit?usp=sharing"",""นครปฐม!J265"")"),0)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IFERROR(__xludf.DUMMYFUNCTION("IMPORTRANGE(""https://docs.google.com/spreadsheets/d/1SX6NBoVAgQJ6U1MVXOaj8PK2l7WJ3RER9xtqwdhxkhw/edit?usp=sharing"",""นครปฐม!I164"")"),0)</f>
        <v>0</v>
      </c>
      <c r="J371" s="190">
        <f ca="1">IFERROR(__xludf.DUMMYFUNCTION("IMPORTRANGE(""https://docs.google.com/spreadsheets/d/1SX6NBoVAgQJ6U1MVXOaj8PK2l7WJ3RER9xtqwdhxkhw/edit?usp=sharing"",""นครปฐม!J164"")"),0)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IFERROR(__xludf.DUMMYFUNCTION("IMPORTRANGE(""https://docs.google.com/spreadsheets/d/1SX6NBoVAgQJ6U1MVXOaj8PK2l7WJ3RER9xtqwdhxkhw/edit?usp=sharing"",""นครปฐม!I267"")"),0)</f>
        <v>0</v>
      </c>
      <c r="J372" s="190">
        <f ca="1">IFERROR(__xludf.DUMMYFUNCTION("IMPORTRANGE(""https://docs.google.com/spreadsheets/d/1SX6NBoVAgQJ6U1MVXOaj8PK2l7WJ3RER9xtqwdhxkhw/edit?usp=sharing"",""นครปฐม!J267"")"),0)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IFERROR(__xludf.DUMMYFUNCTION("IMPORTRANGE(""https://docs.google.com/spreadsheets/d/1SX6NBoVAgQJ6U1MVXOaj8PK2l7WJ3RER9xtqwdhxkhw/edit?usp=sharing"",""นครปฐม!I164"")"),0)</f>
        <v>0</v>
      </c>
      <c r="J373" s="205">
        <f ca="1">IFERROR(__xludf.DUMMYFUNCTION("IMPORTRANGE(""https://docs.google.com/spreadsheets/d/1SX6NBoVAgQJ6U1MVXOaj8PK2l7WJ3RER9xtqwdhxkhw/edit?usp=sharing"",""นครปฐม!J164"")"),0)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IFERROR(__xludf.DUMMYFUNCTION("IMPORTRANGE(""https://docs.google.com/spreadsheets/d/1SX6NBoVAgQJ6U1MVXOaj8PK2l7WJ3RER9xtqwdhxkhw/edit?usp=sharing"",""นครปฐม!I164"")"),0)</f>
        <v>0</v>
      </c>
      <c r="J374" s="189">
        <f ca="1">IFERROR(__xludf.DUMMYFUNCTION("IMPORTRANGE(""https://docs.google.com/spreadsheets/d/1SX6NBoVAgQJ6U1MVXOaj8PK2l7WJ3RER9xtqwdhxkhw/edit?usp=sharing"",""นครปฐม!J164"")"),0)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IFERROR(__xludf.DUMMYFUNCTION("IMPORTRANGE(""https://docs.google.com/spreadsheets/d/1SX6NBoVAgQJ6U1MVXOaj8PK2l7WJ3RER9xtqwdhxkhw/edit?usp=sharing"",""นครปฐม!I270"")"),0)</f>
        <v>0</v>
      </c>
      <c r="J375" s="189">
        <f ca="1">IFERROR(__xludf.DUMMYFUNCTION("IMPORTRANGE(""https://docs.google.com/spreadsheets/d/1SX6NBoVAgQJ6U1MVXOaj8PK2l7WJ3RER9xtqwdhxkhw/edit?usp=sharing"",""นครปฐม!J270"")"),0)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IFERROR(__xludf.DUMMYFUNCTION("IMPORTRANGE(""https://docs.google.com/spreadsheets/d/1SX6NBoVAgQJ6U1MVXOaj8PK2l7WJ3RER9xtqwdhxkhw/edit?usp=sharing"",""นครปฐม!I271"")"),0)</f>
        <v>0</v>
      </c>
      <c r="J376" s="190">
        <f ca="1">IFERROR(__xludf.DUMMYFUNCTION("IMPORTRANGE(""https://docs.google.com/spreadsheets/d/1SX6NBoVAgQJ6U1MVXOaj8PK2l7WJ3RER9xtqwdhxkhw/edit?usp=sharing"",""นครปฐม!J271"")"),0)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IFERROR(__xludf.DUMMYFUNCTION("IMPORTRANGE(""https://docs.google.com/spreadsheets/d/1SX6NBoVAgQJ6U1MVXOaj8PK2l7WJ3RER9xtqwdhxkhw/edit?usp=sharing"",""นครปฐม!I272"")"),0)</f>
        <v>0</v>
      </c>
      <c r="J377" s="205">
        <f ca="1">IFERROR(__xludf.DUMMYFUNCTION("IMPORTRANGE(""https://docs.google.com/spreadsheets/d/1SX6NBoVAgQJ6U1MVXOaj8PK2l7WJ3RER9xtqwdhxkhw/edit?usp=sharing"",""นครปฐม!J272"")"),0)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IFERROR(__xludf.DUMMYFUNCTION("IMPORTRANGE(""https://docs.google.com/spreadsheets/d/1SX6NBoVAgQJ6U1MVXOaj8PK2l7WJ3RER9xtqwdhxkhw/edit?usp=sharing"",""นครปฐม!J273"")"),0)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IFERROR(__xludf.DUMMYFUNCTION("IMPORTRANGE(""https://docs.google.com/spreadsheets/d/1SX6NBoVAgQJ6U1MVXOaj8PK2l7WJ3RER9xtqwdhxkhw/edit?usp=sharing"",""นครปฐม!L277"")"),0)</f>
        <v>0</v>
      </c>
      <c r="M382" s="166"/>
      <c r="N382" s="166">
        <f ca="1">IFERROR(__xludf.DUMMYFUNCTION("IMPORTRANGE(""https://docs.google.com/spreadsheets/d/1SX6NBoVAgQJ6U1MVXOaj8PK2l7WJ3RER9xtqwdhxkhw/edit?usp=sharing"",""นครปฐม!M277"")"),0)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IFERROR(__xludf.DUMMYFUNCTION("IMPORTRANGE(""https://docs.google.com/spreadsheets/d/1SX6NBoVAgQJ6U1MVXOaj8PK2l7WJ3RER9xtqwdhxkhw/edit?usp=sharing"",""นครปฐม!L278"")"),0)</f>
        <v>0</v>
      </c>
      <c r="M383" s="167"/>
      <c r="N383" s="167">
        <f ca="1">IFERROR(__xludf.DUMMYFUNCTION("IMPORTRANGE(""https://docs.google.com/spreadsheets/d/1SX6NBoVAgQJ6U1MVXOaj8PK2l7WJ3RER9xtqwdhxkhw/edit?usp=sharing"",""นครปฐม!M278"")"),0)</f>
        <v>0</v>
      </c>
      <c r="O383" s="167">
        <f t="shared" ca="1" si="109"/>
        <v>0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IFERROR(__xludf.DUMMYFUNCTION("IMPORTRANGE(""https://docs.google.com/spreadsheets/d/1SX6NBoVAgQJ6U1MVXOaj8PK2l7WJ3RER9xtqwdhxkhw/edit?usp=sharing"",""นครปฐม!L279"")"),0)</f>
        <v>0</v>
      </c>
      <c r="M384" s="170"/>
      <c r="N384" s="170">
        <f ca="1">IFERROR(__xludf.DUMMYFUNCTION("IMPORTRANGE(""https://docs.google.com/spreadsheets/d/1SX6NBoVAgQJ6U1MVXOaj8PK2l7WJ3RER9xtqwdhxkhw/edit?usp=sharing"",""นครปฐม!M279"")"),0)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IFERROR(__xludf.DUMMYFUNCTION("IMPORTRANGE(""https://docs.google.com/spreadsheets/d/1SX6NBoVAgQJ6U1MVXOaj8PK2l7WJ3RER9xtqwdhxkhw/edit?usp=sharing"",""นครปฐม!L280"")"),0)</f>
        <v>0</v>
      </c>
      <c r="M385" s="170"/>
      <c r="N385" s="169">
        <f ca="1">IFERROR(__xludf.DUMMYFUNCTION("IMPORTRANGE(""https://docs.google.com/spreadsheets/d/1SX6NBoVAgQJ6U1MVXOaj8PK2l7WJ3RER9xtqwdhxkhw/edit?usp=sharing"",""นครปฐม!M280"")"),0)</f>
        <v>0</v>
      </c>
      <c r="O385" s="170">
        <f t="shared" ca="1" si="109"/>
        <v>0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IFERROR(__xludf.DUMMYFUNCTION("IMPORTRANGE(""https://docs.google.com/spreadsheets/d/1SX6NBoVAgQJ6U1MVXOaj8PK2l7WJ3RER9xtqwdhxkhw/edit?usp=sharing"",""นครปฐม!J286"")"),0)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IFERROR(__xludf.DUMMYFUNCTION("IMPORTRANGE(""https://docs.google.com/spreadsheets/d/1SX6NBoVAgQJ6U1MVXOaj8PK2l7WJ3RER9xtqwdhxkhw/edit?usp=sharing"",""นครปฐม!J287"")"),0)</f>
        <v>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IFERROR(__xludf.DUMMYFUNCTION("IMPORTRANGE(""https://docs.google.com/spreadsheets/d/1SX6NBoVAgQJ6U1MVXOaj8PK2l7WJ3RER9xtqwdhxkhw/edit?usp=sharing"",""นครปฐม!J288"")"),0)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IFERROR(__xludf.DUMMYFUNCTION("IMPORTRANGE(""https://docs.google.com/spreadsheets/d/1SX6NBoVAgQJ6U1MVXOaj8PK2l7WJ3RER9xtqwdhxkhw/edit?usp=sharing"",""นครปฐม!J289"")"),0)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IFERROR(__xludf.DUMMYFUNCTION("IMPORTRANGE(""https://docs.google.com/spreadsheets/d/1SX6NBoVAgQJ6U1MVXOaj8PK2l7WJ3RER9xtqwdhxkhw/edit?usp=sharing"",""นครปฐม!I291"")"),0)</f>
        <v>0</v>
      </c>
      <c r="J396" s="199">
        <f ca="1">IFERROR(__xludf.DUMMYFUNCTION("IMPORTRANGE(""https://docs.google.com/spreadsheets/d/1SX6NBoVAgQJ6U1MVXOaj8PK2l7WJ3RER9xtqwdhxkhw/edit?usp=sharing"",""นครปฐม!J291"")"),0)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IFERROR(__xludf.DUMMYFUNCTION("IMPORTRANGE(""https://docs.google.com/spreadsheets/d/1SX6NBoVAgQJ6U1MVXOaj8PK2l7WJ3RER9xtqwdhxkhw/edit?usp=sharing"",""นครปฐม!I292"")"),0)</f>
        <v>0</v>
      </c>
      <c r="J397" s="199">
        <f ca="1">IFERROR(__xludf.DUMMYFUNCTION("IMPORTRANGE(""https://docs.google.com/spreadsheets/d/1SX6NBoVAgQJ6U1MVXOaj8PK2l7WJ3RER9xtqwdhxkhw/edit?usp=sharing"",""นครปฐม!J292"")"),0)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IFERROR(__xludf.DUMMYFUNCTION("IMPORTRANGE(""https://docs.google.com/spreadsheets/d/1SX6NBoVAgQJ6U1MVXOaj8PK2l7WJ3RER9xtqwdhxkhw/edit?usp=sharing"",""นครปฐม!I293"")"),0)</f>
        <v>0</v>
      </c>
      <c r="J398" s="199">
        <f ca="1">IFERROR(__xludf.DUMMYFUNCTION("IMPORTRANGE(""https://docs.google.com/spreadsheets/d/1SX6NBoVAgQJ6U1MVXOaj8PK2l7WJ3RER9xtqwdhxkhw/edit?usp=sharing"",""นครปฐม!J293"")"),0)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IFERROR(__xludf.DUMMYFUNCTION("IMPORTRANGE(""https://docs.google.com/spreadsheets/d/1SX6NBoVAgQJ6U1MVXOaj8PK2l7WJ3RER9xtqwdhxkhw/edit?usp=sharing"",""นครปฐม!J294"")"),0)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IFERROR(__xludf.DUMMYFUNCTION("IMPORTRANGE(""https://docs.google.com/spreadsheets/d/1SX6NBoVAgQJ6U1MVXOaj8PK2l7WJ3RER9xtqwdhxkhw/edit?usp=sharing"",""นครปฐม!M296"")"),61950)</f>
        <v>61950</v>
      </c>
      <c r="O401" s="373">
        <f ca="1">+IF(L401&gt;0,N401*100/L401,0)</f>
        <v>47.562380038387715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IFERROR(__xludf.DUMMYFUNCTION("IMPORTRANGE(""https://docs.google.com/spreadsheets/d/1SX6NBoVAgQJ6U1MVXOaj8PK2l7WJ3RER9xtqwdhxkhw/edit?usp=sharing"",""นครปฐม!L298"")"),0)</f>
        <v>0</v>
      </c>
      <c r="M403" s="166"/>
      <c r="N403" s="170">
        <f ca="1">IFERROR(__xludf.DUMMYFUNCTION("IMPORTRANGE(""https://docs.google.com/spreadsheets/d/1SX6NBoVAgQJ6U1MVXOaj8PK2l7WJ3RER9xtqwdhxkhw/edit?usp=sharing"",""นครปฐม!M298"")"),0)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IFERROR(__xludf.DUMMYFUNCTION("IMPORTRANGE(""https://docs.google.com/spreadsheets/d/1SX6NBoVAgQJ6U1MVXOaj8PK2l7WJ3RER9xtqwdhxkhw/edit?usp=sharing"",""นครปฐม!L299"")"),130250)</f>
        <v>130250</v>
      </c>
      <c r="M404" s="167"/>
      <c r="N404" s="170">
        <f ca="1">IFERROR(__xludf.DUMMYFUNCTION("IMPORTRANGE(""https://docs.google.com/spreadsheets/d/1SX6NBoVAgQJ6U1MVXOaj8PK2l7WJ3RER9xtqwdhxkhw/edit?usp=sharing"",""นครปฐม!M299"")"),61950)</f>
        <v>61950</v>
      </c>
      <c r="O404" s="170">
        <f t="shared" ca="1" si="112"/>
        <v>47.562380038387715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IFERROR(__xludf.DUMMYFUNCTION("IMPORTRANGE(""https://docs.google.com/spreadsheets/d/1SX6NBoVAgQJ6U1MVXOaj8PK2l7WJ3RER9xtqwdhxkhw/edit?usp=sharing"",""นครปฐม!L300"")"),0)</f>
        <v>0</v>
      </c>
      <c r="M405" s="170"/>
      <c r="N405" s="170">
        <f ca="1">IFERROR(__xludf.DUMMYFUNCTION("IMPORTRANGE(""https://docs.google.com/spreadsheets/d/1SX6NBoVAgQJ6U1MVXOaj8PK2l7WJ3RER9xtqwdhxkhw/edit?usp=sharing"",""นครปฐม!M300"")"),0)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IFERROR(__xludf.DUMMYFUNCTION("IMPORTRANGE(""https://docs.google.com/spreadsheets/d/1SX6NBoVAgQJ6U1MVXOaj8PK2l7WJ3RER9xtqwdhxkhw/edit?usp=sharing"",""นครปฐม!L301"")"),130250)</f>
        <v>130250</v>
      </c>
      <c r="M406" s="170"/>
      <c r="N406" s="170">
        <f ca="1">IFERROR(__xludf.DUMMYFUNCTION("IMPORTRANGE(""https://docs.google.com/spreadsheets/d/1SX6NBoVAgQJ6U1MVXOaj8PK2l7WJ3RER9xtqwdhxkhw/edit?usp=sharing"",""นครปฐม!M301"")"),61950)</f>
        <v>61950</v>
      </c>
      <c r="O406" s="170">
        <f t="shared" ca="1" si="112"/>
        <v>47.562380038387715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IFERROR(__xludf.DUMMYFUNCTION("IMPORTRANGE(""https://docs.google.com/spreadsheets/d/1SX6NBoVAgQJ6U1MVXOaj8PK2l7WJ3RER9xtqwdhxkhw/edit?usp=sharing"",""นครปฐม!M302"")"),48830)</f>
        <v>48830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IFERROR(__xludf.DUMMYFUNCTION("IMPORTRANGE(""https://docs.google.com/spreadsheets/d/1SX6NBoVAgQJ6U1MVXOaj8PK2l7WJ3RER9xtqwdhxkhw/edit?usp=sharing"",""นครปฐม!M303"")"),0)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IFERROR(__xludf.DUMMYFUNCTION("IMPORTRANGE(""https://docs.google.com/spreadsheets/d/1SX6NBoVAgQJ6U1MVXOaj8PK2l7WJ3RER9xtqwdhxkhw/edit?usp=sharing"",""นครปฐม!M305"")"),13120)</f>
        <v>13120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IFERROR(__xludf.DUMMYFUNCTION("IMPORTRANGE(""https://docs.google.com/spreadsheets/d/1SX6NBoVAgQJ6U1MVXOaj8PK2l7WJ3RER9xtqwdhxkhw/edit?usp=sharing"",""นครปฐม!J307"")"),0)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IFERROR(__xludf.DUMMYFUNCTION("IMPORTRANGE(""https://docs.google.com/spreadsheets/d/1SX6NBoVAgQJ6U1MVXOaj8PK2l7WJ3RER9xtqwdhxkhw/edit?usp=sharing"",""นครปฐม!J308"")"),1)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IFERROR(__xludf.DUMMYFUNCTION("IMPORTRANGE(""https://docs.google.com/spreadsheets/d/1SX6NBoVAgQJ6U1MVXOaj8PK2l7WJ3RER9xtqwdhxkhw/edit?usp=sharing"",""นครปฐม!J309"")"),1)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IFERROR(__xludf.DUMMYFUNCTION("IMPORTRANGE(""https://docs.google.com/spreadsheets/d/1SX6NBoVAgQJ6U1MVXOaj8PK2l7WJ3RER9xtqwdhxkhw/edit?usp=sharing"",""นครปฐม!J310"")"),1)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IFERROR(__xludf.DUMMYFUNCTION("IMPORTRANGE(""https://docs.google.com/spreadsheets/d/1SX6NBoVAgQJ6U1MVXOaj8PK2l7WJ3RER9xtqwdhxkhw/edit?usp=sharing"",""นครปฐม!I311"")"),50)</f>
        <v>50</v>
      </c>
      <c r="J416" s="202">
        <f ca="1">IFERROR(__xludf.DUMMYFUNCTION("IMPORTRANGE(""https://docs.google.com/spreadsheets/d/1SX6NBoVAgQJ6U1MVXOaj8PK2l7WJ3RER9xtqwdhxkhw/edit?usp=sharing"",""นครปฐม!J311"")"),0)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IFERROR(__xludf.DUMMYFUNCTION("IMPORTRANGE(""https://docs.google.com/spreadsheets/d/1SX6NBoVAgQJ6U1MVXOaj8PK2l7WJ3RER9xtqwdhxkhw/edit?usp=sharing"",""นครปฐม!J328"")"),0)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IFERROR(__xludf.DUMMYFUNCTION("IMPORTRANGE(""https://docs.google.com/spreadsheets/d/1SX6NBoVAgQJ6U1MVXOaj8PK2l7WJ3RER9xtqwdhxkhw/edit?usp=sharing"",""นครปฐม!J329"")"),0)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IFERROR(__xludf.DUMMYFUNCTION("IMPORTRANGE(""https://docs.google.com/spreadsheets/d/1SX6NBoVAgQJ6U1MVXOaj8PK2l7WJ3RER9xtqwdhxkhw/edit?usp=sharing"",""นครปฐม!L330"")"),76000)</f>
        <v>76000</v>
      </c>
      <c r="M435" s="412"/>
      <c r="N435" s="412">
        <f ca="1">IFERROR(__xludf.DUMMYFUNCTION("IMPORTRANGE(""https://docs.google.com/spreadsheets/d/1SX6NBoVAgQJ6U1MVXOaj8PK2l7WJ3RER9xtqwdhxkhw/edit?usp=sharing"",""นครปฐม!M330"")"),3335)</f>
        <v>3335</v>
      </c>
      <c r="O435" s="412">
        <f t="shared" ref="O435:O439" ca="1" si="114">+IF(L435&gt;0,N435*100/L435,0)</f>
        <v>4.3881578947368425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IFERROR(__xludf.DUMMYFUNCTION("IMPORTRANGE(""https://docs.google.com/spreadsheets/d/1SX6NBoVAgQJ6U1MVXOaj8PK2l7WJ3RER9xtqwdhxkhw/edit?usp=sharing"",""นครปฐม!L331"")"),0)</f>
        <v>0</v>
      </c>
      <c r="M436" s="166"/>
      <c r="N436" s="170">
        <f ca="1">IFERROR(__xludf.DUMMYFUNCTION("IMPORTRANGE(""https://docs.google.com/spreadsheets/d/1SX6NBoVAgQJ6U1MVXOaj8PK2l7WJ3RER9xtqwdhxkhw/edit?usp=sharing"",""นครปฐม!M331"")"),0)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IFERROR(__xludf.DUMMYFUNCTION("IMPORTRANGE(""https://docs.google.com/spreadsheets/d/1SX6NBoVAgQJ6U1MVXOaj8PK2l7WJ3RER9xtqwdhxkhw/edit?usp=sharing"",""นครปฐม!L332"")"),76000)</f>
        <v>76000</v>
      </c>
      <c r="M437" s="167"/>
      <c r="N437" s="170">
        <f ca="1">IFERROR(__xludf.DUMMYFUNCTION("IMPORTRANGE(""https://docs.google.com/spreadsheets/d/1SX6NBoVAgQJ6U1MVXOaj8PK2l7WJ3RER9xtqwdhxkhw/edit?usp=sharing"",""นครปฐม!M332"")"),3335)</f>
        <v>3335</v>
      </c>
      <c r="O437" s="170">
        <f t="shared" ca="1" si="114"/>
        <v>4.3881578947368425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IFERROR(__xludf.DUMMYFUNCTION("IMPORTRANGE(""https://docs.google.com/spreadsheets/d/1SX6NBoVAgQJ6U1MVXOaj8PK2l7WJ3RER9xtqwdhxkhw/edit?usp=sharing"",""นครปฐม!L333"")"),0)</f>
        <v>0</v>
      </c>
      <c r="M438" s="170"/>
      <c r="N438" s="170">
        <f ca="1">IFERROR(__xludf.DUMMYFUNCTION("IMPORTRANGE(""https://docs.google.com/spreadsheets/d/1SX6NBoVAgQJ6U1MVXOaj8PK2l7WJ3RER9xtqwdhxkhw/edit?usp=sharing"",""นครปฐม!M333"")"),0)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IFERROR(__xludf.DUMMYFUNCTION("IMPORTRANGE(""https://docs.google.com/spreadsheets/d/1SX6NBoVAgQJ6U1MVXOaj8PK2l7WJ3RER9xtqwdhxkhw/edit?usp=sharing"",""นครปฐม!L334"")"),76000)</f>
        <v>76000</v>
      </c>
      <c r="M439" s="170"/>
      <c r="N439" s="170">
        <f ca="1">IFERROR(__xludf.DUMMYFUNCTION("IMPORTRANGE(""https://docs.google.com/spreadsheets/d/1SX6NBoVAgQJ6U1MVXOaj8PK2l7WJ3RER9xtqwdhxkhw/edit?usp=sharing"",""นครปฐม!M334"")"),3335)</f>
        <v>3335</v>
      </c>
      <c r="O439" s="170">
        <f t="shared" ca="1" si="114"/>
        <v>4.3881578947368425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IFERROR(__xludf.DUMMYFUNCTION("IMPORTRANGE(""https://docs.google.com/spreadsheets/d/1SX6NBoVAgQJ6U1MVXOaj8PK2l7WJ3RER9xtqwdhxkhw/edit?usp=sharing"",""นครปฐม!M335"")"),0)</f>
        <v>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IFERROR(__xludf.DUMMYFUNCTION("IMPORTRANGE(""https://docs.google.com/spreadsheets/d/1SX6NBoVAgQJ6U1MVXOaj8PK2l7WJ3RER9xtqwdhxkhw/edit?usp=sharing"",""นครปฐม!M338"")"),3335)</f>
        <v>3335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IFERROR(__xludf.DUMMYFUNCTION("IMPORTRANGE(""https://docs.google.com/spreadsheets/d/1SX6NBoVAgQJ6U1MVXOaj8PK2l7WJ3RER9xtqwdhxkhw/edit?usp=sharing"",""นครปฐม!J342"")"),1)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IFERROR(__xludf.DUMMYFUNCTION("IMPORTRANGE(""https://docs.google.com/spreadsheets/d/1SX6NBoVAgQJ6U1MVXOaj8PK2l7WJ3RER9xtqwdhxkhw/edit?usp=sharing"",""นครปฐม!J343"")"),1)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2">
        <f ca="1">IFERROR(__xludf.DUMMYFUNCTION("IMPORTRANGE(""https://docs.google.com/spreadsheets/d/1SX6NBoVAgQJ6U1MVXOaj8PK2l7WJ3RER9xtqwdhxkhw/edit?usp=sharing"",""นครปฐม!J344"")"),0)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IFERROR(__xludf.DUMMYFUNCTION("IMPORTRANGE(""https://docs.google.com/spreadsheets/d/1SX6NBoVAgQJ6U1MVXOaj8PK2l7WJ3RER9xtqwdhxkhw/edit?usp=sharing"",""นครปฐม!I345"")"),10)</f>
        <v>10</v>
      </c>
      <c r="J450" s="190">
        <f ca="1">IFERROR(__xludf.DUMMYFUNCTION("IMPORTRANGE(""https://docs.google.com/spreadsheets/d/1SX6NBoVAgQJ6U1MVXOaj8PK2l7WJ3RER9xtqwdhxkhw/edit?usp=sharing"",""นครปฐม!J345"")"),0)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IFERROR(__xludf.DUMMYFUNCTION("IMPORTRANGE(""https://docs.google.com/spreadsheets/d/1SX6NBoVAgQJ6U1MVXOaj8PK2l7WJ3RER9xtqwdhxkhw/edit?usp=sharing"",""นครปฐม!I346"")"),0)</f>
        <v>0</v>
      </c>
      <c r="J451" s="189">
        <f ca="1">IFERROR(__xludf.DUMMYFUNCTION("IMPORTRANGE(""https://docs.google.com/spreadsheets/d/1SX6NBoVAgQJ6U1MVXOaj8PK2l7WJ3RER9xtqwdhxkhw/edit?usp=sharing"",""นครปฐม!J346"")"),0)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IFERROR(__xludf.DUMMYFUNCTION("IMPORTRANGE(""https://docs.google.com/spreadsheets/d/1SX6NBoVAgQJ6U1MVXOaj8PK2l7WJ3RER9xtqwdhxkhw/edit?usp=sharing"",""นครปฐม!I347"")"),0)</f>
        <v>0</v>
      </c>
      <c r="J452" s="189">
        <f ca="1">IFERROR(__xludf.DUMMYFUNCTION("IMPORTRANGE(""https://docs.google.com/spreadsheets/d/1SX6NBoVAgQJ6U1MVXOaj8PK2l7WJ3RER9xtqwdhxkhw/edit?usp=sharing"",""นครปฐม!J347"")"),0)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IFERROR(__xludf.DUMMYFUNCTION("IMPORTRANGE(""https://docs.google.com/spreadsheets/d/1SX6NBoVAgQJ6U1MVXOaj8PK2l7WJ3RER9xtqwdhxkhw/edit?usp=sharing"",""นครปฐม!J348"")"),0)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IFERROR(__xludf.DUMMYFUNCTION("IMPORTRANGE(""https://docs.google.com/spreadsheets/d/1SX6NBoVAgQJ6U1MVXOaj8PK2l7WJ3RER9xtqwdhxkhw/edit?usp=sharing"",""นครปฐม!J349"")"),0)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IFERROR(__xludf.DUMMYFUNCTION("IMPORTRANGE(""https://docs.google.com/spreadsheets/d/1SX6NBoVAgQJ6U1MVXOaj8PK2l7WJ3RER9xtqwdhxkhw/edit?usp=sharing"",""นครปฐม!L351"")"),0)</f>
        <v>0</v>
      </c>
      <c r="M456" s="166"/>
      <c r="N456" s="170">
        <f ca="1">IFERROR(__xludf.DUMMYFUNCTION("IMPORTRANGE(""https://docs.google.com/spreadsheets/d/1SX6NBoVAgQJ6U1MVXOaj8PK2l7WJ3RER9xtqwdhxkhw/edit?usp=sharing"",""นครปฐม!M351"")"),0)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IFERROR(__xludf.DUMMYFUNCTION("IMPORTRANGE(""https://docs.google.com/spreadsheets/d/1SX6NBoVAgQJ6U1MVXOaj8PK2l7WJ3RER9xtqwdhxkhw/edit?usp=sharing"",""นครปฐม!L352"")"),0)</f>
        <v>0</v>
      </c>
      <c r="M457" s="167"/>
      <c r="N457" s="170">
        <f ca="1">IFERROR(__xludf.DUMMYFUNCTION("IMPORTRANGE(""https://docs.google.com/spreadsheets/d/1SX6NBoVAgQJ6U1MVXOaj8PK2l7WJ3RER9xtqwdhxkhw/edit?usp=sharing"",""นครปฐม!M352"")"),0)</f>
        <v>0</v>
      </c>
      <c r="O457" s="170">
        <f t="shared" ca="1" si="116"/>
        <v>0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IFERROR(__xludf.DUMMYFUNCTION("IMPORTRANGE(""https://docs.google.com/spreadsheets/d/1SX6NBoVAgQJ6U1MVXOaj8PK2l7WJ3RER9xtqwdhxkhw/edit?usp=sharing"",""นครปฐม!L353"")"),0)</f>
        <v>0</v>
      </c>
      <c r="M458" s="170"/>
      <c r="N458" s="170">
        <f ca="1">IFERROR(__xludf.DUMMYFUNCTION("IMPORTRANGE(""https://docs.google.com/spreadsheets/d/1SX6NBoVAgQJ6U1MVXOaj8PK2l7WJ3RER9xtqwdhxkhw/edit?usp=sharing"",""นครปฐม!M353"")"),0)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IFERROR(__xludf.DUMMYFUNCTION("IMPORTRANGE(""https://docs.google.com/spreadsheets/d/1SX6NBoVAgQJ6U1MVXOaj8PK2l7WJ3RER9xtqwdhxkhw/edit?usp=sharing"",""นครปฐม!L354"")"),0)</f>
        <v>0</v>
      </c>
      <c r="M459" s="170"/>
      <c r="N459" s="170">
        <f ca="1">IFERROR(__xludf.DUMMYFUNCTION("IMPORTRANGE(""https://docs.google.com/spreadsheets/d/1SX6NBoVAgQJ6U1MVXOaj8PK2l7WJ3RER9xtqwdhxkhw/edit?usp=sharing"",""นครปฐม!M354"")"),0)</f>
        <v>0</v>
      </c>
      <c r="O459" s="170">
        <f t="shared" ca="1" si="116"/>
        <v>0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IFERROR(__xludf.DUMMYFUNCTION("IMPORTRANGE(""https://docs.google.com/spreadsheets/d/1SX6NBoVAgQJ6U1MVXOaj8PK2l7WJ3RER9xtqwdhxkhw/edit?usp=sharing"",""นครปฐม!M355"")"),0)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IFERROR(__xludf.DUMMYFUNCTION("IMPORTRANGE(""https://docs.google.com/spreadsheets/d/1SX6NBoVAgQJ6U1MVXOaj8PK2l7WJ3RER9xtqwdhxkhw/edit?usp=sharing"",""นครปฐม!M356"")"),0)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3">
        <f t="shared" ca="1" si="117"/>
        <v>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3">
        <f t="shared" ca="1" si="117"/>
        <v>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IFERROR(__xludf.DUMMYFUNCTION("IMPORTRANGE(""https://docs.google.com/spreadsheets/d/1SX6NBoVAgQJ6U1MVXOaj8PK2l7WJ3RER9xtqwdhxkhw/edit?usp=sharing"",""นครปฐม!I362"")"),0)</f>
        <v>0</v>
      </c>
      <c r="J467" s="190">
        <f ca="1">IFERROR(__xludf.DUMMYFUNCTION("IMPORTRANGE(""https://docs.google.com/spreadsheets/d/1SX6NBoVAgQJ6U1MVXOaj8PK2l7WJ3RER9xtqwdhxkhw/edit?usp=sharing"",""นครปฐม!J362"")"),0)</f>
        <v>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IFERROR(__xludf.DUMMYFUNCTION("IMPORTRANGE(""https://docs.google.com/spreadsheets/d/1SX6NBoVAgQJ6U1MVXOaj8PK2l7WJ3RER9xtqwdhxkhw/edit?usp=sharing"",""นครปฐม!I363"")"),0)</f>
        <v>0</v>
      </c>
      <c r="J468" s="190">
        <f ca="1">IFERROR(__xludf.DUMMYFUNCTION("IMPORTRANGE(""https://docs.google.com/spreadsheets/d/1SX6NBoVAgQJ6U1MVXOaj8PK2l7WJ3RER9xtqwdhxkhw/edit?usp=sharing"",""นครปฐม!J363"")"),0)</f>
        <v>0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IFERROR(__xludf.DUMMYFUNCTION("IMPORTRANGE(""https://docs.google.com/spreadsheets/d/1SX6NBoVAgQJ6U1MVXOaj8PK2l7WJ3RER9xtqwdhxkhw/edit?usp=sharing"",""นครปฐม!I364"")"),0)</f>
        <v>0</v>
      </c>
      <c r="J469" s="190">
        <f ca="1">IFERROR(__xludf.DUMMYFUNCTION("IMPORTRANGE(""https://docs.google.com/spreadsheets/d/1SX6NBoVAgQJ6U1MVXOaj8PK2l7WJ3RER9xtqwdhxkhw/edit?usp=sharing"",""นครปฐม!J364"")"),0)</f>
        <v>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IFERROR(__xludf.DUMMYFUNCTION("IMPORTRANGE(""https://docs.google.com/spreadsheets/d/1SX6NBoVAgQJ6U1MVXOaj8PK2l7WJ3RER9xtqwdhxkhw/edit?usp=sharing"",""นครปฐม!I365"")"),0)</f>
        <v>0</v>
      </c>
      <c r="J470" s="190">
        <f ca="1">IFERROR(__xludf.DUMMYFUNCTION("IMPORTRANGE(""https://docs.google.com/spreadsheets/d/1SX6NBoVAgQJ6U1MVXOaj8PK2l7WJ3RER9xtqwdhxkhw/edit?usp=sharing"",""นครปฐม!J365"")"),0)</f>
        <v>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IFERROR(__xludf.DUMMYFUNCTION("IMPORTRANGE(""https://docs.google.com/spreadsheets/d/1SX6NBoVAgQJ6U1MVXOaj8PK2l7WJ3RER9xtqwdhxkhw/edit?usp=sharing"",""นครปฐม!I366"")"),0)</f>
        <v>0</v>
      </c>
      <c r="J471" s="190">
        <f ca="1">IFERROR(__xludf.DUMMYFUNCTION("IMPORTRANGE(""https://docs.google.com/spreadsheets/d/1SX6NBoVAgQJ6U1MVXOaj8PK2l7WJ3RER9xtqwdhxkhw/edit?usp=sharing"",""นครปฐม!J366"")"),0)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IFERROR(__xludf.DUMMYFUNCTION("IMPORTRANGE(""https://docs.google.com/spreadsheets/d/1SX6NBoVAgQJ6U1MVXOaj8PK2l7WJ3RER9xtqwdhxkhw/edit?usp=sharing"",""นครปฐม!I367"")"),0)</f>
        <v>0</v>
      </c>
      <c r="J472" s="190">
        <f ca="1">IFERROR(__xludf.DUMMYFUNCTION("IMPORTRANGE(""https://docs.google.com/spreadsheets/d/1SX6NBoVAgQJ6U1MVXOaj8PK2l7WJ3RER9xtqwdhxkhw/edit?usp=sharing"",""นครปฐม!J367"")"),0)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IFERROR(__xludf.DUMMYFUNCTION("IMPORTRANGE(""https://docs.google.com/spreadsheets/d/1SX6NBoVAgQJ6U1MVXOaj8PK2l7WJ3RER9xtqwdhxkhw/edit?usp=sharing"",""นครปฐม!I370"")"),0)</f>
        <v>0</v>
      </c>
      <c r="J475" s="190">
        <f ca="1">IFERROR(__xludf.DUMMYFUNCTION("IMPORTRANGE(""https://docs.google.com/spreadsheets/d/1SX6NBoVAgQJ6U1MVXOaj8PK2l7WJ3RER9xtqwdhxkhw/edit?usp=sharing"",""นครปฐม!J370"")"),0)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IFERROR(__xludf.DUMMYFUNCTION("IMPORTRANGE(""https://docs.google.com/spreadsheets/d/1SX6NBoVAgQJ6U1MVXOaj8PK2l7WJ3RER9xtqwdhxkhw/edit?usp=sharing"",""นครปฐม!I371"")"),0)</f>
        <v>0</v>
      </c>
      <c r="J476" s="190">
        <f ca="1">IFERROR(__xludf.DUMMYFUNCTION("IMPORTRANGE(""https://docs.google.com/spreadsheets/d/1SX6NBoVAgQJ6U1MVXOaj8PK2l7WJ3RER9xtqwdhxkhw/edit?usp=sharing"",""นครปฐม!J371"")"),0)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IFERROR(__xludf.DUMMYFUNCTION("IMPORTRANGE(""https://docs.google.com/spreadsheets/d/1SX6NBoVAgQJ6U1MVXOaj8PK2l7WJ3RER9xtqwdhxkhw/edit?usp=sharing"",""นครปฐม!I372"")"),0)</f>
        <v>0</v>
      </c>
      <c r="J477" s="190">
        <f ca="1">IFERROR(__xludf.DUMMYFUNCTION("IMPORTRANGE(""https://docs.google.com/spreadsheets/d/1SX6NBoVAgQJ6U1MVXOaj8PK2l7WJ3RER9xtqwdhxkhw/edit?usp=sharing"",""นครปฐม!J372"")"),0)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IFERROR(__xludf.DUMMYFUNCTION("IMPORTRANGE(""https://docs.google.com/spreadsheets/d/1SX6NBoVAgQJ6U1MVXOaj8PK2l7WJ3RER9xtqwdhxkhw/edit?usp=sharing"",""นครปฐม!I373"")"),0)</f>
        <v>0</v>
      </c>
      <c r="J478" s="190">
        <f ca="1">IFERROR(__xludf.DUMMYFUNCTION("IMPORTRANGE(""https://docs.google.com/spreadsheets/d/1SX6NBoVAgQJ6U1MVXOaj8PK2l7WJ3RER9xtqwdhxkhw/edit?usp=sharing"",""นครปฐม!J373"")"),0)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IFERROR(__xludf.DUMMYFUNCTION("IMPORTRANGE(""https://docs.google.com/spreadsheets/d/1SX6NBoVAgQJ6U1MVXOaj8PK2l7WJ3RER9xtqwdhxkhw/edit?usp=sharing"",""นครปฐม!I374"")"),0)</f>
        <v>0</v>
      </c>
      <c r="J479" s="190">
        <f ca="1">IFERROR(__xludf.DUMMYFUNCTION("IMPORTRANGE(""https://docs.google.com/spreadsheets/d/1SX6NBoVAgQJ6U1MVXOaj8PK2l7WJ3RER9xtqwdhxkhw/edit?usp=sharing"",""นครปฐม!J374"")"),0)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IFERROR(__xludf.DUMMYFUNCTION("IMPORTRANGE(""https://docs.google.com/spreadsheets/d/1SX6NBoVAgQJ6U1MVXOaj8PK2l7WJ3RER9xtqwdhxkhw/edit?usp=sharing"",""นครปฐม!I375"")"),0)</f>
        <v>0</v>
      </c>
      <c r="J480" s="190">
        <f ca="1">IFERROR(__xludf.DUMMYFUNCTION("IMPORTRANGE(""https://docs.google.com/spreadsheets/d/1SX6NBoVAgQJ6U1MVXOaj8PK2l7WJ3RER9xtqwdhxkhw/edit?usp=sharing"",""นครปฐม!J375"")"),0)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IFERROR(__xludf.DUMMYFUNCTION("IMPORTRANGE(""https://docs.google.com/spreadsheets/d/1SX6NBoVAgQJ6U1MVXOaj8PK2l7WJ3RER9xtqwdhxkhw/edit?usp=sharing"",""นครปฐม!I378"")"),0)</f>
        <v>0</v>
      </c>
      <c r="J483" s="190">
        <f ca="1">IFERROR(__xludf.DUMMYFUNCTION("IMPORTRANGE(""https://docs.google.com/spreadsheets/d/1SX6NBoVAgQJ6U1MVXOaj8PK2l7WJ3RER9xtqwdhxkhw/edit?usp=sharing"",""นครปฐม!J378"")"),0)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IFERROR(__xludf.DUMMYFUNCTION("IMPORTRANGE(""https://docs.google.com/spreadsheets/d/1SX6NBoVAgQJ6U1MVXOaj8PK2l7WJ3RER9xtqwdhxkhw/edit?usp=sharing"",""นครปฐม!I379"")"),0)</f>
        <v>0</v>
      </c>
      <c r="J484" s="190">
        <f ca="1">IFERROR(__xludf.DUMMYFUNCTION("IMPORTRANGE(""https://docs.google.com/spreadsheets/d/1SX6NBoVAgQJ6U1MVXOaj8PK2l7WJ3RER9xtqwdhxkhw/edit?usp=sharing"",""นครปฐม!J379"")"),0)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IFERROR(__xludf.DUMMYFUNCTION("IMPORTRANGE(""https://docs.google.com/spreadsheets/d/1SX6NBoVAgQJ6U1MVXOaj8PK2l7WJ3RER9xtqwdhxkhw/edit?usp=sharing"",""นครปฐม!I380"")"),0)</f>
        <v>0</v>
      </c>
      <c r="J485" s="190">
        <f ca="1">IFERROR(__xludf.DUMMYFUNCTION("IMPORTRANGE(""https://docs.google.com/spreadsheets/d/1SX6NBoVAgQJ6U1MVXOaj8PK2l7WJ3RER9xtqwdhxkhw/edit?usp=sharing"",""นครปฐม!J380"")"),0)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IFERROR(__xludf.DUMMYFUNCTION("IMPORTRANGE(""https://docs.google.com/spreadsheets/d/1SX6NBoVAgQJ6U1MVXOaj8PK2l7WJ3RER9xtqwdhxkhw/edit?usp=sharing"",""นครปฐม!I381"")"),0)</f>
        <v>0</v>
      </c>
      <c r="J486" s="190">
        <f ca="1">IFERROR(__xludf.DUMMYFUNCTION("IMPORTRANGE(""https://docs.google.com/spreadsheets/d/1SX6NBoVAgQJ6U1MVXOaj8PK2l7WJ3RER9xtqwdhxkhw/edit?usp=sharing"",""นครปฐม!J381"")"),0)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IFERROR(__xludf.DUMMYFUNCTION("IMPORTRANGE(""https://docs.google.com/spreadsheets/d/1SX6NBoVAgQJ6U1MVXOaj8PK2l7WJ3RER9xtqwdhxkhw/edit?usp=sharing"",""นครปฐม!I384"")"),0)</f>
        <v>0</v>
      </c>
      <c r="J489" s="190">
        <f ca="1">IFERROR(__xludf.DUMMYFUNCTION("IMPORTRANGE(""https://docs.google.com/spreadsheets/d/1SX6NBoVAgQJ6U1MVXOaj8PK2l7WJ3RER9xtqwdhxkhw/edit?usp=sharing"",""นครปฐม!J384"")"),0)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IFERROR(__xludf.DUMMYFUNCTION("IMPORTRANGE(""https://docs.google.com/spreadsheets/d/1SX6NBoVAgQJ6U1MVXOaj8PK2l7WJ3RER9xtqwdhxkhw/edit?usp=sharing"",""นครปฐม!I385"")"),0)</f>
        <v>0</v>
      </c>
      <c r="J490" s="190">
        <f ca="1">IFERROR(__xludf.DUMMYFUNCTION("IMPORTRANGE(""https://docs.google.com/spreadsheets/d/1SX6NBoVAgQJ6U1MVXOaj8PK2l7WJ3RER9xtqwdhxkhw/edit?usp=sharing"",""นครปฐม!J385"")"),0)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IFERROR(__xludf.DUMMYFUNCTION("IMPORTRANGE(""https://docs.google.com/spreadsheets/d/1SX6NBoVAgQJ6U1MVXOaj8PK2l7WJ3RER9xtqwdhxkhw/edit?usp=sharing"",""นครปฐม!I386"")"),0)</f>
        <v>0</v>
      </c>
      <c r="J491" s="190">
        <f ca="1">IFERROR(__xludf.DUMMYFUNCTION("IMPORTRANGE(""https://docs.google.com/spreadsheets/d/1SX6NBoVAgQJ6U1MVXOaj8PK2l7WJ3RER9xtqwdhxkhw/edit?usp=sharing"",""นครปฐม!J386"")"),0)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IFERROR(__xludf.DUMMYFUNCTION("IMPORTRANGE(""https://docs.google.com/spreadsheets/d/1SX6NBoVAgQJ6U1MVXOaj8PK2l7WJ3RER9xtqwdhxkhw/edit?usp=sharing"",""นครปฐม!I387"")"),0)</f>
        <v>0</v>
      </c>
      <c r="J492" s="190">
        <f ca="1">IFERROR(__xludf.DUMMYFUNCTION("IMPORTRANGE(""https://docs.google.com/spreadsheets/d/1SX6NBoVAgQJ6U1MVXOaj8PK2l7WJ3RER9xtqwdhxkhw/edit?usp=sharing"",""นครปฐม!J387"")"),0)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IFERROR(__xludf.DUMMYFUNCTION("IMPORTRANGE(""https://docs.google.com/spreadsheets/d/1SX6NBoVAgQJ6U1MVXOaj8PK2l7WJ3RER9xtqwdhxkhw/edit?usp=sharing"",""นครปฐม!I388"")"),0)</f>
        <v>0</v>
      </c>
      <c r="J493" s="190">
        <f ca="1">IFERROR(__xludf.DUMMYFUNCTION("IMPORTRANGE(""https://docs.google.com/spreadsheets/d/1SX6NBoVAgQJ6U1MVXOaj8PK2l7WJ3RER9xtqwdhxkhw/edit?usp=sharing"",""นครปฐม!J388"")"),0)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IFERROR(__xludf.DUMMYFUNCTION("IMPORTRANGE(""https://docs.google.com/spreadsheets/d/1SX6NBoVAgQJ6U1MVXOaj8PK2l7WJ3RER9xtqwdhxkhw/edit?usp=sharing"",""นครปฐม!I395"")"),0)</f>
        <v>0</v>
      </c>
      <c r="J500" s="164">
        <f ca="1">IFERROR(__xludf.DUMMYFUNCTION("IMPORTRANGE(""https://docs.google.com/spreadsheets/d/1SX6NBoVAgQJ6U1MVXOaj8PK2l7WJ3RER9xtqwdhxkhw/edit?usp=sharing"",""นครปฐม!J395"")"),0)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IFERROR(__xludf.DUMMYFUNCTION("IMPORTRANGE(""https://docs.google.com/spreadsheets/d/1SX6NBoVAgQJ6U1MVXOaj8PK2l7WJ3RER9xtqwdhxkhw/edit?usp=sharing"",""นครปฐม!I396"")"),0)</f>
        <v>0</v>
      </c>
      <c r="J501" s="164">
        <f ca="1">IFERROR(__xludf.DUMMYFUNCTION("IMPORTRANGE(""https://docs.google.com/spreadsheets/d/1SX6NBoVAgQJ6U1MVXOaj8PK2l7WJ3RER9xtqwdhxkhw/edit?usp=sharing"",""นครปฐม!J396"")"),0)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IFERROR(__xludf.DUMMYFUNCTION("IMPORTRANGE(""https://docs.google.com/spreadsheets/d/1SX6NBoVAgQJ6U1MVXOaj8PK2l7WJ3RER9xtqwdhxkhw/edit?usp=sharing"",""นครปฐม!I397"")"),0)</f>
        <v>0</v>
      </c>
      <c r="J502" s="190">
        <f ca="1">IFERROR(__xludf.DUMMYFUNCTION("IMPORTRANGE(""https://docs.google.com/spreadsheets/d/1SX6NBoVAgQJ6U1MVXOaj8PK2l7WJ3RER9xtqwdhxkhw/edit?usp=sharing"",""นครปฐม!J397"")"),0)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IFERROR(__xludf.DUMMYFUNCTION("IMPORTRANGE(""https://docs.google.com/spreadsheets/d/1SX6NBoVAgQJ6U1MVXOaj8PK2l7WJ3RER9xtqwdhxkhw/edit?usp=sharing"",""นครปฐม!I398"")"),0)</f>
        <v>0</v>
      </c>
      <c r="J503" s="199">
        <f ca="1">IFERROR(__xludf.DUMMYFUNCTION("IMPORTRANGE(""https://docs.google.com/spreadsheets/d/1SX6NBoVAgQJ6U1MVXOaj8PK2l7WJ3RER9xtqwdhxkhw/edit?usp=sharing"",""นครปฐม!J398"")"),0)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IFERROR(__xludf.DUMMYFUNCTION("IMPORTRANGE(""https://docs.google.com/spreadsheets/d/1SX6NBoVAgQJ6U1MVXOaj8PK2l7WJ3RER9xtqwdhxkhw/edit?usp=sharing"",""นครปฐม!I399"")"),0)</f>
        <v>0</v>
      </c>
      <c r="J504" s="190">
        <f ca="1">IFERROR(__xludf.DUMMYFUNCTION("IMPORTRANGE(""https://docs.google.com/spreadsheets/d/1SX6NBoVAgQJ6U1MVXOaj8PK2l7WJ3RER9xtqwdhxkhw/edit?usp=sharing"",""นครปฐม!J399"")"),0)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IFERROR(__xludf.DUMMYFUNCTION("IMPORTRANGE(""https://docs.google.com/spreadsheets/d/1SX6NBoVAgQJ6U1MVXOaj8PK2l7WJ3RER9xtqwdhxkhw/edit?usp=sharing"",""นครปฐม!I400"")"),0)</f>
        <v>0</v>
      </c>
      <c r="J505" s="199">
        <f ca="1">IFERROR(__xludf.DUMMYFUNCTION("IMPORTRANGE(""https://docs.google.com/spreadsheets/d/1SX6NBoVAgQJ6U1MVXOaj8PK2l7WJ3RER9xtqwdhxkhw/edit?usp=sharing"",""นครปฐม!J400"")"),0)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IFERROR(__xludf.DUMMYFUNCTION("IMPORTRANGE(""https://docs.google.com/spreadsheets/d/1SX6NBoVAgQJ6U1MVXOaj8PK2l7WJ3RER9xtqwdhxkhw/edit?usp=sharing"",""นครปฐม!I401"")"),0)</f>
        <v>0</v>
      </c>
      <c r="J506" s="190">
        <f ca="1">IFERROR(__xludf.DUMMYFUNCTION("IMPORTRANGE(""https://docs.google.com/spreadsheets/d/1SX6NBoVAgQJ6U1MVXOaj8PK2l7WJ3RER9xtqwdhxkhw/edit?usp=sharing"",""นครปฐม!J401"")"),0)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IFERROR(__xludf.DUMMYFUNCTION("IMPORTRANGE(""https://docs.google.com/spreadsheets/d/1SX6NBoVAgQJ6U1MVXOaj8PK2l7WJ3RER9xtqwdhxkhw/edit?usp=sharing"",""นครปฐม!I402"")"),0)</f>
        <v>0</v>
      </c>
      <c r="J507" s="199">
        <f ca="1">IFERROR(__xludf.DUMMYFUNCTION("IMPORTRANGE(""https://docs.google.com/spreadsheets/d/1SX6NBoVAgQJ6U1MVXOaj8PK2l7WJ3RER9xtqwdhxkhw/edit?usp=sharing"",""นครปฐม!J402"")"),0)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IFERROR(__xludf.DUMMYFUNCTION("IMPORTRANGE(""https://docs.google.com/spreadsheets/d/1SX6NBoVAgQJ6U1MVXOaj8PK2l7WJ3RER9xtqwdhxkhw/edit?usp=sharing"",""นครปฐม!I403"")"),0)</f>
        <v>0</v>
      </c>
      <c r="J508" s="164">
        <f ca="1">IFERROR(__xludf.DUMMYFUNCTION("IMPORTRANGE(""https://docs.google.com/spreadsheets/d/1SX6NBoVAgQJ6U1MVXOaj8PK2l7WJ3RER9xtqwdhxkhw/edit?usp=sharing"",""นครปฐม!J403"")"),0)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IFERROR(__xludf.DUMMYFUNCTION("IMPORTRANGE(""https://docs.google.com/spreadsheets/d/1SX6NBoVAgQJ6U1MVXOaj8PK2l7WJ3RER9xtqwdhxkhw/edit?usp=sharing"",""นครปฐม!I404"")"),0)</f>
        <v>0</v>
      </c>
      <c r="J509" s="164">
        <f ca="1">IFERROR(__xludf.DUMMYFUNCTION("IMPORTRANGE(""https://docs.google.com/spreadsheets/d/1SX6NBoVAgQJ6U1MVXOaj8PK2l7WJ3RER9xtqwdhxkhw/edit?usp=sharing"",""นครปฐม!J404"")"),0)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IFERROR(__xludf.DUMMYFUNCTION("IMPORTRANGE(""https://docs.google.com/spreadsheets/d/1SX6NBoVAgQJ6U1MVXOaj8PK2l7WJ3RER9xtqwdhxkhw/edit?usp=sharing"",""นครปฐม!I405"")"),0)</f>
        <v>0</v>
      </c>
      <c r="J510" s="199">
        <f ca="1">IFERROR(__xludf.DUMMYFUNCTION("IMPORTRANGE(""https://docs.google.com/spreadsheets/d/1SX6NBoVAgQJ6U1MVXOaj8PK2l7WJ3RER9xtqwdhxkhw/edit?usp=sharing"",""นครปฐม!J405"")"),0)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IFERROR(__xludf.DUMMYFUNCTION("IMPORTRANGE(""https://docs.google.com/spreadsheets/d/1SX6NBoVAgQJ6U1MVXOaj8PK2l7WJ3RER9xtqwdhxkhw/edit?usp=sharing"",""นครปฐม!I406"")"),0)</f>
        <v>0</v>
      </c>
      <c r="J511" s="199">
        <f ca="1">IFERROR(__xludf.DUMMYFUNCTION("IMPORTRANGE(""https://docs.google.com/spreadsheets/d/1SX6NBoVAgQJ6U1MVXOaj8PK2l7WJ3RER9xtqwdhxkhw/edit?usp=sharing"",""นครปฐม!J406"")"),0)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IFERROR(__xludf.DUMMYFUNCTION("IMPORTRANGE(""https://docs.google.com/spreadsheets/d/1SX6NBoVAgQJ6U1MVXOaj8PK2l7WJ3RER9xtqwdhxkhw/edit?usp=sharing"",""นครปฐม!I407"")"),0)</f>
        <v>0</v>
      </c>
      <c r="J512" s="199">
        <f ca="1">IFERROR(__xludf.DUMMYFUNCTION("IMPORTRANGE(""https://docs.google.com/spreadsheets/d/1SX6NBoVAgQJ6U1MVXOaj8PK2l7WJ3RER9xtqwdhxkhw/edit?usp=sharing"",""นครปฐม!J407"")"),0)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IFERROR(__xludf.DUMMYFUNCTION("IMPORTRANGE(""https://docs.google.com/spreadsheets/d/1SX6NBoVAgQJ6U1MVXOaj8PK2l7WJ3RER9xtqwdhxkhw/edit?usp=sharing"",""นครปฐม!I408"")"),0)</f>
        <v>0</v>
      </c>
      <c r="J513" s="199">
        <f ca="1">IFERROR(__xludf.DUMMYFUNCTION("IMPORTRANGE(""https://docs.google.com/spreadsheets/d/1SX6NBoVAgQJ6U1MVXOaj8PK2l7WJ3RER9xtqwdhxkhw/edit?usp=sharing"",""นครปฐม!J408"")"),0)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IFERROR(__xludf.DUMMYFUNCTION("IMPORTRANGE(""https://docs.google.com/spreadsheets/d/1SX6NBoVAgQJ6U1MVXOaj8PK2l7WJ3RER9xtqwdhxkhw/edit?usp=sharing"",""นครปฐม!I409"")"),0)</f>
        <v>0</v>
      </c>
      <c r="J514" s="199">
        <f ca="1">IFERROR(__xludf.DUMMYFUNCTION("IMPORTRANGE(""https://docs.google.com/spreadsheets/d/1SX6NBoVAgQJ6U1MVXOaj8PK2l7WJ3RER9xtqwdhxkhw/edit?usp=sharing"",""นครปฐม!J409"")"),0)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IFERROR(__xludf.DUMMYFUNCTION("IMPORTRANGE(""https://docs.google.com/spreadsheets/d/1SX6NBoVAgQJ6U1MVXOaj8PK2l7WJ3RER9xtqwdhxkhw/edit?usp=sharing"",""นครปฐม!I410"")"),0)</f>
        <v>0</v>
      </c>
      <c r="J515" s="199">
        <f ca="1">IFERROR(__xludf.DUMMYFUNCTION("IMPORTRANGE(""https://docs.google.com/spreadsheets/d/1SX6NBoVAgQJ6U1MVXOaj8PK2l7WJ3RER9xtqwdhxkhw/edit?usp=sharing"",""นครปฐม!J410"")"),0)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IFERROR(__xludf.DUMMYFUNCTION("IMPORTRANGE(""https://docs.google.com/spreadsheets/d/1SX6NBoVAgQJ6U1MVXOaj8PK2l7WJ3RER9xtqwdhxkhw/edit?usp=sharing"",""นครปฐม!I412"")"),0)</f>
        <v>0</v>
      </c>
      <c r="J517" s="284">
        <f ca="1">IFERROR(__xludf.DUMMYFUNCTION("IMPORTRANGE(""https://docs.google.com/spreadsheets/d/1SX6NBoVAgQJ6U1MVXOaj8PK2l7WJ3RER9xtqwdhxkhw/edit?usp=sharing"",""นครปฐม!J412"")"),0)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IFERROR(__xludf.DUMMYFUNCTION("IMPORTRANGE(""https://docs.google.com/spreadsheets/d/1SX6NBoVAgQJ6U1MVXOaj8PK2l7WJ3RER9xtqwdhxkhw/edit?usp=sharing"",""นครปฐม!I413"")"),0)</f>
        <v>0</v>
      </c>
      <c r="J518" s="284">
        <f ca="1">IFERROR(__xludf.DUMMYFUNCTION("IMPORTRANGE(""https://docs.google.com/spreadsheets/d/1SX6NBoVAgQJ6U1MVXOaj8PK2l7WJ3RER9xtqwdhxkhw/edit?usp=sharing"",""นครปฐม!J413"")"),0)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IFERROR(__xludf.DUMMYFUNCTION("IMPORTRANGE(""https://docs.google.com/spreadsheets/d/1SX6NBoVAgQJ6U1MVXOaj8PK2l7WJ3RER9xtqwdhxkhw/edit?usp=sharing"",""นครปฐม!I414"")"),0)</f>
        <v>0</v>
      </c>
      <c r="J519" s="189">
        <f ca="1">IFERROR(__xludf.DUMMYFUNCTION("IMPORTRANGE(""https://docs.google.com/spreadsheets/d/1SX6NBoVAgQJ6U1MVXOaj8PK2l7WJ3RER9xtqwdhxkhw/edit?usp=sharing"",""นครปฐม!J414"")"),0)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IFERROR(__xludf.DUMMYFUNCTION("IMPORTRANGE(""https://docs.google.com/spreadsheets/d/1SX6NBoVAgQJ6U1MVXOaj8PK2l7WJ3RER9xtqwdhxkhw/edit?usp=sharing"",""นครปฐม!I415"")"),0)</f>
        <v>0</v>
      </c>
      <c r="J520" s="189">
        <f ca="1">IFERROR(__xludf.DUMMYFUNCTION("IMPORTRANGE(""https://docs.google.com/spreadsheets/d/1SX6NBoVAgQJ6U1MVXOaj8PK2l7WJ3RER9xtqwdhxkhw/edit?usp=sharing"",""นครปฐม!J415"")"),0)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IFERROR(__xludf.DUMMYFUNCTION("IMPORTRANGE(""https://docs.google.com/spreadsheets/d/1SX6NBoVAgQJ6U1MVXOaj8PK2l7WJ3RER9xtqwdhxkhw/edit?usp=sharing"",""นครปฐม!I416"")"),0)</f>
        <v>0</v>
      </c>
      <c r="J521" s="189">
        <f ca="1">IFERROR(__xludf.DUMMYFUNCTION("IMPORTRANGE(""https://docs.google.com/spreadsheets/d/1SX6NBoVAgQJ6U1MVXOaj8PK2l7WJ3RER9xtqwdhxkhw/edit?usp=sharing"",""นครปฐม!J416"")"),0)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IFERROR(__xludf.DUMMYFUNCTION("IMPORTRANGE(""https://docs.google.com/spreadsheets/d/1SX6NBoVAgQJ6U1MVXOaj8PK2l7WJ3RER9xtqwdhxkhw/edit?usp=sharing"",""นครปฐม!I417"")"),0)</f>
        <v>0</v>
      </c>
      <c r="J522" s="189">
        <f ca="1">IFERROR(__xludf.DUMMYFUNCTION("IMPORTRANGE(""https://docs.google.com/spreadsheets/d/1SX6NBoVAgQJ6U1MVXOaj8PK2l7WJ3RER9xtqwdhxkhw/edit?usp=sharing"",""นครปฐม!J417"")"),0)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IFERROR(__xludf.DUMMYFUNCTION("IMPORTRANGE(""https://docs.google.com/spreadsheets/d/1SX6NBoVAgQJ6U1MVXOaj8PK2l7WJ3RER9xtqwdhxkhw/edit?usp=sharing"",""นครปฐม!I418"")"),0)</f>
        <v>0</v>
      </c>
      <c r="J523" s="189">
        <f ca="1">IFERROR(__xludf.DUMMYFUNCTION("IMPORTRANGE(""https://docs.google.com/spreadsheets/d/1SX6NBoVAgQJ6U1MVXOaj8PK2l7WJ3RER9xtqwdhxkhw/edit?usp=sharing"",""นครปฐม!J418"")"),0)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IFERROR(__xludf.DUMMYFUNCTION("IMPORTRANGE(""https://docs.google.com/spreadsheets/d/1SX6NBoVAgQJ6U1MVXOaj8PK2l7WJ3RER9xtqwdhxkhw/edit?usp=sharing"",""นครปฐม!I419"")"),0)</f>
        <v>0</v>
      </c>
      <c r="J524" s="189">
        <f ca="1">IFERROR(__xludf.DUMMYFUNCTION("IMPORTRANGE(""https://docs.google.com/spreadsheets/d/1SX6NBoVAgQJ6U1MVXOaj8PK2l7WJ3RER9xtqwdhxkhw/edit?usp=sharing"",""นครปฐม!J419"")"),0)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IFERROR(__xludf.DUMMYFUNCTION("IMPORTRANGE(""https://docs.google.com/spreadsheets/d/1SX6NBoVAgQJ6U1MVXOaj8PK2l7WJ3RER9xtqwdhxkhw/edit?usp=sharing"",""นครปฐม!I420"")"),0)</f>
        <v>0</v>
      </c>
      <c r="J525" s="284">
        <f ca="1">IFERROR(__xludf.DUMMYFUNCTION("IMPORTRANGE(""https://docs.google.com/spreadsheets/d/1SX6NBoVAgQJ6U1MVXOaj8PK2l7WJ3RER9xtqwdhxkhw/edit?usp=sharing"",""นครปฐม!J420"")"),0)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IFERROR(__xludf.DUMMYFUNCTION("IMPORTRANGE(""https://docs.google.com/spreadsheets/d/1SX6NBoVAgQJ6U1MVXOaj8PK2l7WJ3RER9xtqwdhxkhw/edit?usp=sharing"",""นครปฐม!I421"")"),0)</f>
        <v>0</v>
      </c>
      <c r="J526" s="284">
        <f ca="1">IFERROR(__xludf.DUMMYFUNCTION("IMPORTRANGE(""https://docs.google.com/spreadsheets/d/1SX6NBoVAgQJ6U1MVXOaj8PK2l7WJ3RER9xtqwdhxkhw/edit?usp=sharing"",""นครปฐม!J421"")"),0)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IFERROR(__xludf.DUMMYFUNCTION("IMPORTRANGE(""https://docs.google.com/spreadsheets/d/1SX6NBoVAgQJ6U1MVXOaj8PK2l7WJ3RER9xtqwdhxkhw/edit?usp=sharing"",""นครปฐม!I422"")"),0)</f>
        <v>0</v>
      </c>
      <c r="J527" s="199">
        <f ca="1">IFERROR(__xludf.DUMMYFUNCTION("IMPORTRANGE(""https://docs.google.com/spreadsheets/d/1SX6NBoVAgQJ6U1MVXOaj8PK2l7WJ3RER9xtqwdhxkhw/edit?usp=sharing"",""นครปฐม!J422"")"),0)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IFERROR(__xludf.DUMMYFUNCTION("IMPORTRANGE(""https://docs.google.com/spreadsheets/d/1SX6NBoVAgQJ6U1MVXOaj8PK2l7WJ3RER9xtqwdhxkhw/edit?usp=sharing"",""นครปฐม!I423"")"),0)</f>
        <v>0</v>
      </c>
      <c r="J528" s="199">
        <f ca="1">IFERROR(__xludf.DUMMYFUNCTION("IMPORTRANGE(""https://docs.google.com/spreadsheets/d/1SX6NBoVAgQJ6U1MVXOaj8PK2l7WJ3RER9xtqwdhxkhw/edit?usp=sharing"",""นครปฐม!J423"")"),0)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IFERROR(__xludf.DUMMYFUNCTION("IMPORTRANGE(""https://docs.google.com/spreadsheets/d/1SX6NBoVAgQJ6U1MVXOaj8PK2l7WJ3RER9xtqwdhxkhw/edit?usp=sharing"",""นครปฐม!I424"")"),0)</f>
        <v>0</v>
      </c>
      <c r="J529" s="199">
        <f ca="1">IFERROR(__xludf.DUMMYFUNCTION("IMPORTRANGE(""https://docs.google.com/spreadsheets/d/1SX6NBoVAgQJ6U1MVXOaj8PK2l7WJ3RER9xtqwdhxkhw/edit?usp=sharing"",""นครปฐม!J424"")"),0)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IFERROR(__xludf.DUMMYFUNCTION("IMPORTRANGE(""https://docs.google.com/spreadsheets/d/1SX6NBoVAgQJ6U1MVXOaj8PK2l7WJ3RER9xtqwdhxkhw/edit?usp=sharing"",""นครปฐม!I425"")"),0)</f>
        <v>0</v>
      </c>
      <c r="J530" s="199">
        <f ca="1">IFERROR(__xludf.DUMMYFUNCTION("IMPORTRANGE(""https://docs.google.com/spreadsheets/d/1SX6NBoVAgQJ6U1MVXOaj8PK2l7WJ3RER9xtqwdhxkhw/edit?usp=sharing"",""นครปฐม!J425"")"),0)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IFERROR(__xludf.DUMMYFUNCTION("IMPORTRANGE(""https://docs.google.com/spreadsheets/d/1SX6NBoVAgQJ6U1MVXOaj8PK2l7WJ3RER9xtqwdhxkhw/edit?usp=sharing"",""นครปฐม!I426"")"),0)</f>
        <v>0</v>
      </c>
      <c r="J531" s="199">
        <f ca="1">IFERROR(__xludf.DUMMYFUNCTION("IMPORTRANGE(""https://docs.google.com/spreadsheets/d/1SX6NBoVAgQJ6U1MVXOaj8PK2l7WJ3RER9xtqwdhxkhw/edit?usp=sharing"",""นครปฐม!J426"")"),0)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IFERROR(__xludf.DUMMYFUNCTION("IMPORTRANGE(""https://docs.google.com/spreadsheets/d/1SX6NBoVAgQJ6U1MVXOaj8PK2l7WJ3RER9xtqwdhxkhw/edit?usp=sharing"",""นครปฐม!M428"")"),26520)</f>
        <v>26520</v>
      </c>
      <c r="O533" s="412">
        <f t="shared" ref="O533:O537" ca="1" si="118">+IF(L533&gt;0,N533*100/L533,0)</f>
        <v>81.25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IFERROR(__xludf.DUMMYFUNCTION("IMPORTRANGE(""https://docs.google.com/spreadsheets/d/1SX6NBoVAgQJ6U1MVXOaj8PK2l7WJ3RER9xtqwdhxkhw/edit?usp=sharing"",""นครปฐม!L429"")"),0)</f>
        <v>0</v>
      </c>
      <c r="M534" s="166"/>
      <c r="N534" s="170">
        <f ca="1">IFERROR(__xludf.DUMMYFUNCTION("IMPORTRANGE(""https://docs.google.com/spreadsheets/d/1SX6NBoVAgQJ6U1MVXOaj8PK2l7WJ3RER9xtqwdhxkhw/edit?usp=sharing"",""นครปฐม!M429"")"),0)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IFERROR(__xludf.DUMMYFUNCTION("IMPORTRANGE(""https://docs.google.com/spreadsheets/d/1SX6NBoVAgQJ6U1MVXOaj8PK2l7WJ3RER9xtqwdhxkhw/edit?usp=sharing"",""นครปฐม!L430"")"),32640)</f>
        <v>32640</v>
      </c>
      <c r="M535" s="167"/>
      <c r="N535" s="170">
        <f ca="1">IFERROR(__xludf.DUMMYFUNCTION("IMPORTRANGE(""https://docs.google.com/spreadsheets/d/1SX6NBoVAgQJ6U1MVXOaj8PK2l7WJ3RER9xtqwdhxkhw/edit?usp=sharing"",""นครปฐม!M430"")"),26520)</f>
        <v>26520</v>
      </c>
      <c r="O535" s="170">
        <f t="shared" ca="1" si="118"/>
        <v>81.25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IFERROR(__xludf.DUMMYFUNCTION("IMPORTRANGE(""https://docs.google.com/spreadsheets/d/1SX6NBoVAgQJ6U1MVXOaj8PK2l7WJ3RER9xtqwdhxkhw/edit?usp=sharing"",""นครปฐม!L431"")"),0)</f>
        <v>0</v>
      </c>
      <c r="M536" s="170"/>
      <c r="N536" s="170">
        <f ca="1">IFERROR(__xludf.DUMMYFUNCTION("IMPORTRANGE(""https://docs.google.com/spreadsheets/d/1SX6NBoVAgQJ6U1MVXOaj8PK2l7WJ3RER9xtqwdhxkhw/edit?usp=sharing"",""นครปฐม!M431"")"),0)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IFERROR(__xludf.DUMMYFUNCTION("IMPORTRANGE(""https://docs.google.com/spreadsheets/d/1SX6NBoVAgQJ6U1MVXOaj8PK2l7WJ3RER9xtqwdhxkhw/edit?usp=sharing"",""นครปฐม!L432"")"),32640)</f>
        <v>32640</v>
      </c>
      <c r="M537" s="170"/>
      <c r="N537" s="170">
        <f ca="1">IFERROR(__xludf.DUMMYFUNCTION("IMPORTRANGE(""https://docs.google.com/spreadsheets/d/1SX6NBoVAgQJ6U1MVXOaj8PK2l7WJ3RER9xtqwdhxkhw/edit?usp=sharing"",""นครปฐม!M432"")"),26520)</f>
        <v>26520</v>
      </c>
      <c r="O537" s="170">
        <f t="shared" ca="1" si="118"/>
        <v>81.25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IFERROR(__xludf.DUMMYFUNCTION("IMPORTRANGE(""https://docs.google.com/spreadsheets/d/1SX6NBoVAgQJ6U1MVXOaj8PK2l7WJ3RER9xtqwdhxkhw/edit?usp=sharing"",""นครปฐม!M436"")"),9480)</f>
        <v>9480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IFERROR(__xludf.DUMMYFUNCTION("IMPORTRANGE(""https://docs.google.com/spreadsheets/d/1SX6NBoVAgQJ6U1MVXOaj8PK2l7WJ3RER9xtqwdhxkhw/edit?usp=sharing"",""นครปฐม!J438"")"),0)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IFERROR(__xludf.DUMMYFUNCTION("IMPORTRANGE(""https://docs.google.com/spreadsheets/d/1SX6NBoVAgQJ6U1MVXOaj8PK2l7WJ3RER9xtqwdhxkhw/edit?usp=sharing"",""นครปฐม!J439"")"),1)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IFERROR(__xludf.DUMMYFUNCTION("IMPORTRANGE(""https://docs.google.com/spreadsheets/d/1SX6NBoVAgQJ6U1MVXOaj8PK2l7WJ3RER9xtqwdhxkhw/edit?usp=sharing"",""นครปฐม!J440"")"),1)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IFERROR(__xludf.DUMMYFUNCTION("IMPORTRANGE(""https://docs.google.com/spreadsheets/d/1SX6NBoVAgQJ6U1MVXOaj8PK2l7WJ3RER9xtqwdhxkhw/edit?usp=sharing"",""นครปฐม!J441"")"),1)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IFERROR(__xludf.DUMMYFUNCTION("IMPORTRANGE(""https://docs.google.com/spreadsheets/d/1SX6NBoVAgQJ6U1MVXOaj8PK2l7WJ3RER9xtqwdhxkhw/edit?usp=sharing"",""นครปฐม!I442"")"),20)</f>
        <v>20</v>
      </c>
      <c r="J547" s="190">
        <f ca="1">IFERROR(__xludf.DUMMYFUNCTION("IMPORTRANGE(""https://docs.google.com/spreadsheets/d/1SX6NBoVAgQJ6U1MVXOaj8PK2l7WJ3RER9xtqwdhxkhw/edit?usp=sharing"",""นครปฐม!J442"")"),20)</f>
        <v>20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IFERROR(__xludf.DUMMYFUNCTION("IMPORTRANGE(""https://docs.google.com/spreadsheets/d/1SX6NBoVAgQJ6U1MVXOaj8PK2l7WJ3RER9xtqwdhxkhw/edit?usp=sharing"",""นครปฐม!J166"")"),0)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IFERROR(__xludf.DUMMYFUNCTION("IMPORTRANGE(""https://docs.google.com/spreadsheets/d/1SX6NBoVAgQJ6U1MVXOaj8PK2l7WJ3RER9xtqwdhxkhw/edit?usp=sharing"",""นครปฐม!J444"")"),0)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IFERROR(__xludf.DUMMYFUNCTION("IMPORTRANGE(""https://docs.google.com/spreadsheets/d/1SX6NBoVAgQJ6U1MVXOaj8PK2l7WJ3RER9xtqwdhxkhw/edit?usp=sharing"",""นครปฐม!L447"")"),0)</f>
        <v>0</v>
      </c>
      <c r="M552" s="166"/>
      <c r="N552" s="170">
        <f ca="1">IFERROR(__xludf.DUMMYFUNCTION("IMPORTRANGE(""https://docs.google.com/spreadsheets/d/1SX6NBoVAgQJ6U1MVXOaj8PK2l7WJ3RER9xtqwdhxkhw/edit?usp=sharing"",""นครปฐม!M447"")"),0)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IFERROR(__xludf.DUMMYFUNCTION("IMPORTRANGE(""https://docs.google.com/spreadsheets/d/1SX6NBoVAgQJ6U1MVXOaj8PK2l7WJ3RER9xtqwdhxkhw/edit?usp=sharing"",""นครปฐม!L448"")"),0)</f>
        <v>0</v>
      </c>
      <c r="M553" s="167"/>
      <c r="N553" s="170">
        <f ca="1">IFERROR(__xludf.DUMMYFUNCTION("IMPORTRANGE(""https://docs.google.com/spreadsheets/d/1SX6NBoVAgQJ6U1MVXOaj8PK2l7WJ3RER9xtqwdhxkhw/edit?usp=sharing"",""นครปฐม!M448"")"),0)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IFERROR(__xludf.DUMMYFUNCTION("IMPORTRANGE(""https://docs.google.com/spreadsheets/d/1SX6NBoVAgQJ6U1MVXOaj8PK2l7WJ3RER9xtqwdhxkhw/edit?usp=sharing"",""นครปฐม!L449"")"),0)</f>
        <v>0</v>
      </c>
      <c r="M554" s="170"/>
      <c r="N554" s="170">
        <f ca="1">IFERROR(__xludf.DUMMYFUNCTION("IMPORTRANGE(""https://docs.google.com/spreadsheets/d/1SX6NBoVAgQJ6U1MVXOaj8PK2l7WJ3RER9xtqwdhxkhw/edit?usp=sharing"",""นครปฐม!M449"")"),0)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IFERROR(__xludf.DUMMYFUNCTION("IMPORTRANGE(""https://docs.google.com/spreadsheets/d/1SX6NBoVAgQJ6U1MVXOaj8PK2l7WJ3RER9xtqwdhxkhw/edit?usp=sharing"",""นครปฐม!L450"")"),0)</f>
        <v>0</v>
      </c>
      <c r="M555" s="170"/>
      <c r="N555" s="170">
        <f ca="1">IFERROR(__xludf.DUMMYFUNCTION("IMPORTRANGE(""https://docs.google.com/spreadsheets/d/1SX6NBoVAgQJ6U1MVXOaj8PK2l7WJ3RER9xtqwdhxkhw/edit?usp=sharing"",""นครปฐม!M450"")"),0)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IFERROR(__xludf.DUMMYFUNCTION("IMPORTRANGE(""https://docs.google.com/spreadsheets/d/1SX6NBoVAgQJ6U1MVXOaj8PK2l7WJ3RER9xtqwdhxkhw/edit?usp=sharing"",""นครปฐม!M451"")"),0)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IFERROR(__xludf.DUMMYFUNCTION("IMPORTRANGE(""https://docs.google.com/spreadsheets/d/1SX6NBoVAgQJ6U1MVXOaj8PK2l7WJ3RER9xtqwdhxkhw/edit?usp=sharing"",""นครปฐม!M452"")"),0)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IFERROR(__xludf.DUMMYFUNCTION("IMPORTRANGE(""https://docs.google.com/spreadsheets/d/1SX6NBoVAgQJ6U1MVXOaj8PK2l7WJ3RER9xtqwdhxkhw/edit?usp=sharing"",""นครปฐม!M453"")"),0)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IFERROR(__xludf.DUMMYFUNCTION("IMPORTRANGE(""https://docs.google.com/spreadsheets/d/1SX6NBoVAgQJ6U1MVXOaj8PK2l7WJ3RER9xtqwdhxkhw/edit?usp=sharing"",""นครปฐม!M454"")"),0)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IFERROR(__xludf.DUMMYFUNCTION("IMPORTRANGE(""https://docs.google.com/spreadsheets/d/1SX6NBoVAgQJ6U1MVXOaj8PK2l7WJ3RER9xtqwdhxkhw/edit?usp=sharing"",""นครปฐม!I455"")"),0)</f>
        <v>0</v>
      </c>
      <c r="J560" s="164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IFERROR(__xludf.DUMMYFUNCTION("IMPORTRANGE(""https://docs.google.com/spreadsheets/d/1SX6NBoVAgQJ6U1MVXOaj8PK2l7WJ3RER9xtqwdhxkhw/edit?usp=sharing"",""นครปฐม!I456"")"),0)</f>
        <v>0</v>
      </c>
      <c r="J561" s="205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IFERROR(__xludf.DUMMYFUNCTION("IMPORTRANGE(""https://docs.google.com/spreadsheets/d/1SX6NBoVAgQJ6U1MVXOaj8PK2l7WJ3RER9xtqwdhxkhw/edit?usp=sharing"",""นครปฐม!I457"")"),0)</f>
        <v>0</v>
      </c>
      <c r="J562" s="205" t="str">
        <f ca="1">IFERROR(__xludf.DUMMYFUNCTION("IMPORTRANGE(""https://docs.google.com/spreadsheets/d/1SX6NBoVAgQJ6U1MVXOaj8PK2l7WJ3RER9xtqwdhxkhw/edit?usp=sharing"",""นครปฐม!J457"")"),"")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IFERROR(__xludf.DUMMYFUNCTION("IMPORTRANGE(""https://docs.google.com/spreadsheets/d/1SX6NBoVAgQJ6U1MVXOaj8PK2l7WJ3RER9xtqwdhxkhw/edit?usp=sharing"",""นครปฐม!I458"")"),0)</f>
        <v>0</v>
      </c>
      <c r="J563" s="189" t="str">
        <f ca="1">IFERROR(__xludf.DUMMYFUNCTION("IMPORTRANGE(""https://docs.google.com/spreadsheets/d/1SX6NBoVAgQJ6U1MVXOaj8PK2l7WJ3RER9xtqwdhxkhw/edit?usp=sharing"",""นครปฐม!J458"")"),"")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IFERROR(__xludf.DUMMYFUNCTION("IMPORTRANGE(""https://docs.google.com/spreadsheets/d/1SX6NBoVAgQJ6U1MVXOaj8PK2l7WJ3RER9xtqwdhxkhw/edit?usp=sharing"",""นครปฐม!J459"")"),36)</f>
        <v>36</v>
      </c>
      <c r="K564" s="372">
        <f t="shared" ca="1" si="121"/>
        <v>36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IFERROR(__xludf.DUMMYFUNCTION("IMPORTRANGE(""https://docs.google.com/spreadsheets/d/1SX6NBoVAgQJ6U1MVXOaj8PK2l7WJ3RER9xtqwdhxkhw/edit?usp=sharing"",""นครปฐม!M459"")"),61406.7)</f>
        <v>61406.7</v>
      </c>
      <c r="O564" s="373">
        <f t="shared" ref="O564:O568" ca="1" si="122">+IF(L564&gt;0,N564*100/L564,0)</f>
        <v>52.863894628099175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IFERROR(__xludf.DUMMYFUNCTION("IMPORTRANGE(""https://docs.google.com/spreadsheets/d/1SX6NBoVAgQJ6U1MVXOaj8PK2l7WJ3RER9xtqwdhxkhw/edit?usp=sharing"",""นครปฐม!L460"")"),0)</f>
        <v>0</v>
      </c>
      <c r="M565" s="166"/>
      <c r="N565" s="170">
        <f ca="1">IFERROR(__xludf.DUMMYFUNCTION("IMPORTRANGE(""https://docs.google.com/spreadsheets/d/1SX6NBoVAgQJ6U1MVXOaj8PK2l7WJ3RER9xtqwdhxkhw/edit?usp=sharing"",""นครปฐม!M460"")"),0)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IFERROR(__xludf.DUMMYFUNCTION("IMPORTRANGE(""https://docs.google.com/spreadsheets/d/1SX6NBoVAgQJ6U1MVXOaj8PK2l7WJ3RER9xtqwdhxkhw/edit?usp=sharing"",""นครปฐม!L461"")"),116160)</f>
        <v>116160</v>
      </c>
      <c r="M566" s="167"/>
      <c r="N566" s="170">
        <f ca="1">IFERROR(__xludf.DUMMYFUNCTION("IMPORTRANGE(""https://docs.google.com/spreadsheets/d/1SX6NBoVAgQJ6U1MVXOaj8PK2l7WJ3RER9xtqwdhxkhw/edit?usp=sharing"",""นครปฐม!M461"")"),61406.7)</f>
        <v>61406.7</v>
      </c>
      <c r="O566" s="170">
        <f t="shared" ca="1" si="122"/>
        <v>52.863894628099175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IFERROR(__xludf.DUMMYFUNCTION("IMPORTRANGE(""https://docs.google.com/spreadsheets/d/1SX6NBoVAgQJ6U1MVXOaj8PK2l7WJ3RER9xtqwdhxkhw/edit?usp=sharing"",""นครปฐม!L462"")"),0)</f>
        <v>0</v>
      </c>
      <c r="M567" s="170"/>
      <c r="N567" s="170">
        <f ca="1">IFERROR(__xludf.DUMMYFUNCTION("IMPORTRANGE(""https://docs.google.com/spreadsheets/d/1SX6NBoVAgQJ6U1MVXOaj8PK2l7WJ3RER9xtqwdhxkhw/edit?usp=sharing"",""นครปฐม!M462"")"),0)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IFERROR(__xludf.DUMMYFUNCTION("IMPORTRANGE(""https://docs.google.com/spreadsheets/d/1SX6NBoVAgQJ6U1MVXOaj8PK2l7WJ3RER9xtqwdhxkhw/edit?usp=sharing"",""นครปฐม!L463"")"),116160)</f>
        <v>116160</v>
      </c>
      <c r="M568" s="170"/>
      <c r="N568" s="170">
        <f ca="1">IFERROR(__xludf.DUMMYFUNCTION("IMPORTRANGE(""https://docs.google.com/spreadsheets/d/1SX6NBoVAgQJ6U1MVXOaj8PK2l7WJ3RER9xtqwdhxkhw/edit?usp=sharing"",""นครปฐม!M463"")"),61406.7)</f>
        <v>61406.7</v>
      </c>
      <c r="O568" s="170">
        <f t="shared" ca="1" si="122"/>
        <v>52.863894628099175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IFERROR(__xludf.DUMMYFUNCTION("IMPORTRANGE(""https://docs.google.com/spreadsheets/d/1SX6NBoVAgQJ6U1MVXOaj8PK2l7WJ3RER9xtqwdhxkhw/edit?usp=sharing"",""นครปฐม!M464"")"),0)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IFERROR(__xludf.DUMMYFUNCTION("IMPORTRANGE(""https://docs.google.com/spreadsheets/d/1SX6NBoVAgQJ6U1MVXOaj8PK2l7WJ3RER9xtqwdhxkhw/edit?usp=sharing"",""นครปฐม!M465"")"),0)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IFERROR(__xludf.DUMMYFUNCTION("IMPORTRANGE(""https://docs.google.com/spreadsheets/d/1SX6NBoVAgQJ6U1MVXOaj8PK2l7WJ3RER9xtqwdhxkhw/edit?usp=sharing"",""นครปฐม!M466"")"),53056.7)</f>
        <v>53056.7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IFERROR(__xludf.DUMMYFUNCTION("IMPORTRANGE(""https://docs.google.com/spreadsheets/d/1SX6NBoVAgQJ6U1MVXOaj8PK2l7WJ3RER9xtqwdhxkhw/edit?usp=sharing"",""นครปฐม!M467"")"),8350)</f>
        <v>8350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IFERROR(__xludf.DUMMYFUNCTION("IMPORTRANGE(""https://docs.google.com/spreadsheets/d/1SX6NBoVAgQJ6U1MVXOaj8PK2l7WJ3RER9xtqwdhxkhw/edit?usp=sharing"",""นครปฐม!J468"")"),36)</f>
        <v>36</v>
      </c>
      <c r="K573" s="203">
        <f ca="1">IF(I573&gt;0,J573*100/I573,0)</f>
        <v>36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IFERROR(__xludf.DUMMYFUNCTION("IMPORTRANGE(""https://docs.google.com/spreadsheets/d/1SX6NBoVAgQJ6U1MVXOaj8PK2l7WJ3RER9xtqwdhxkhw/edit?usp=sharing"",""นครปฐม!I470"")"),0)</f>
        <v>0</v>
      </c>
      <c r="J575" s="199">
        <f ca="1">IFERROR(__xludf.DUMMYFUNCTION("IMPORTRANGE(""https://docs.google.com/spreadsheets/d/1SX6NBoVAgQJ6U1MVXOaj8PK2l7WJ3RER9xtqwdhxkhw/edit?usp=sharing"",""นครปฐม!J470"")"),1)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IFERROR(__xludf.DUMMYFUNCTION("IMPORTRANGE(""https://docs.google.com/spreadsheets/d/1SX6NBoVAgQJ6U1MVXOaj8PK2l7WJ3RER9xtqwdhxkhw/edit?usp=sharing"",""นครปฐม!I471"")"),0)</f>
        <v>0</v>
      </c>
      <c r="J576" s="199">
        <f ca="1">IFERROR(__xludf.DUMMYFUNCTION("IMPORTRANGE(""https://docs.google.com/spreadsheets/d/1SX6NBoVAgQJ6U1MVXOaj8PK2l7WJ3RER9xtqwdhxkhw/edit?usp=sharing"",""นครปฐม!J471"")"),26)</f>
        <v>26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IFERROR(__xludf.DUMMYFUNCTION("IMPORTRANGE(""https://docs.google.com/spreadsheets/d/1SX6NBoVAgQJ6U1MVXOaj8PK2l7WJ3RER9xtqwdhxkhw/edit?usp=sharing"",""นครปฐม!I472"")"),0)</f>
        <v>0</v>
      </c>
      <c r="J577" s="190">
        <f ca="1">IFERROR(__xludf.DUMMYFUNCTION("IMPORTRANGE(""https://docs.google.com/spreadsheets/d/1SX6NBoVAgQJ6U1MVXOaj8PK2l7WJ3RER9xtqwdhxkhw/edit?usp=sharing"",""นครปฐม!J472"")"),10)</f>
        <v>10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IFERROR(__xludf.DUMMYFUNCTION("IMPORTRANGE(""https://docs.google.com/spreadsheets/d/1SX6NBoVAgQJ6U1MVXOaj8PK2l7WJ3RER9xtqwdhxkhw/edit?usp=sharing"",""นครปฐม!I473"")"),0)</f>
        <v>0</v>
      </c>
      <c r="J578" s="199">
        <f ca="1">IFERROR(__xludf.DUMMYFUNCTION("IMPORTRANGE(""https://docs.google.com/spreadsheets/d/1SX6NBoVAgQJ6U1MVXOaj8PK2l7WJ3RER9xtqwdhxkhw/edit?usp=sharing"",""นครปฐม!J473"")"),0)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IFERROR(__xludf.DUMMYFUNCTION("IMPORTRANGE(""https://docs.google.com/spreadsheets/d/1SX6NBoVAgQJ6U1MVXOaj8PK2l7WJ3RER9xtqwdhxkhw/edit?usp=sharing"",""นครปฐม!I474"")"),0)</f>
        <v>0</v>
      </c>
      <c r="J579" s="199">
        <f ca="1">IFERROR(__xludf.DUMMYFUNCTION("IMPORTRANGE(""https://docs.google.com/spreadsheets/d/1SX6NBoVAgQJ6U1MVXOaj8PK2l7WJ3RER9xtqwdhxkhw/edit?usp=sharing"",""นครปฐม!J474"")"),0)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IFERROR(__xludf.DUMMYFUNCTION("IMPORTRANGE(""https://docs.google.com/spreadsheets/d/1SX6NBoVAgQJ6U1MVXOaj8PK2l7WJ3RER9xtqwdhxkhw/edit?usp=sharing"",""นครปฐม!L476"")"),0)</f>
        <v>0</v>
      </c>
      <c r="M581" s="166"/>
      <c r="N581" s="170">
        <f ca="1">IFERROR(__xludf.DUMMYFUNCTION("IMPORTRANGE(""https://docs.google.com/spreadsheets/d/1SX6NBoVAgQJ6U1MVXOaj8PK2l7WJ3RER9xtqwdhxkhw/edit?usp=sharing"",""นครปฐม!M476"")"),0)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IFERROR(__xludf.DUMMYFUNCTION("IMPORTRANGE(""https://docs.google.com/spreadsheets/d/1SX6NBoVAgQJ6U1MVXOaj8PK2l7WJ3RER9xtqwdhxkhw/edit?usp=sharing"",""นครปฐม!L477"")"),0)</f>
        <v>0</v>
      </c>
      <c r="M582" s="167"/>
      <c r="N582" s="170">
        <f ca="1">IFERROR(__xludf.DUMMYFUNCTION("IMPORTRANGE(""https://docs.google.com/spreadsheets/d/1SX6NBoVAgQJ6U1MVXOaj8PK2l7WJ3RER9xtqwdhxkhw/edit?usp=sharing"",""นครปฐม!M477"")"),0)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IFERROR(__xludf.DUMMYFUNCTION("IMPORTRANGE(""https://docs.google.com/spreadsheets/d/1SX6NBoVAgQJ6U1MVXOaj8PK2l7WJ3RER9xtqwdhxkhw/edit?usp=sharing"",""นครปฐม!L478"")"),0)</f>
        <v>0</v>
      </c>
      <c r="M583" s="170"/>
      <c r="N583" s="170">
        <f ca="1">IFERROR(__xludf.DUMMYFUNCTION("IMPORTRANGE(""https://docs.google.com/spreadsheets/d/1SX6NBoVAgQJ6U1MVXOaj8PK2l7WJ3RER9xtqwdhxkhw/edit?usp=sharing"",""นครปฐม!M478"")"),0)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IFERROR(__xludf.DUMMYFUNCTION("IMPORTRANGE(""https://docs.google.com/spreadsheets/d/1SX6NBoVAgQJ6U1MVXOaj8PK2l7WJ3RER9xtqwdhxkhw/edit?usp=sharing"",""นครปฐม!L479"")"),0)</f>
        <v>0</v>
      </c>
      <c r="M584" s="170"/>
      <c r="N584" s="170">
        <f ca="1">IFERROR(__xludf.DUMMYFUNCTION("IMPORTRANGE(""https://docs.google.com/spreadsheets/d/1SX6NBoVAgQJ6U1MVXOaj8PK2l7WJ3RER9xtqwdhxkhw/edit?usp=sharing"",""นครปฐม!M479"")"),0)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IFERROR(__xludf.DUMMYFUNCTION("IMPORTRANGE(""https://docs.google.com/spreadsheets/d/1SX6NBoVAgQJ6U1MVXOaj8PK2l7WJ3RER9xtqwdhxkhw/edit?usp=sharing"",""นครปฐม!M480"")"),0)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IFERROR(__xludf.DUMMYFUNCTION("IMPORTRANGE(""https://docs.google.com/spreadsheets/d/1SX6NBoVAgQJ6U1MVXOaj8PK2l7WJ3RER9xtqwdhxkhw/edit?usp=sharing"",""นครปฐม!M481"")"),0)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IFERROR(__xludf.DUMMYFUNCTION("IMPORTRANGE(""https://docs.google.com/spreadsheets/d/1SX6NBoVAgQJ6U1MVXOaj8PK2l7WJ3RER9xtqwdhxkhw/edit?usp=sharing"",""นครปฐม!M482"")"),0)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IFERROR(__xludf.DUMMYFUNCTION("IMPORTRANGE(""https://docs.google.com/spreadsheets/d/1SX6NBoVAgQJ6U1MVXOaj8PK2l7WJ3RER9xtqwdhxkhw/edit?usp=sharing"",""นครปฐม!M483"")"),0)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IFERROR(__xludf.DUMMYFUNCTION("IMPORTRANGE(""https://docs.google.com/spreadsheets/d/1SX6NBoVAgQJ6U1MVXOaj8PK2l7WJ3RER9xtqwdhxkhw/edit?usp=sharing"",""นครปฐม!I484"")"),0)</f>
        <v>0</v>
      </c>
      <c r="J589" s="189">
        <f ca="1">IFERROR(__xludf.DUMMYFUNCTION("IMPORTRANGE(""https://docs.google.com/spreadsheets/d/1SX6NBoVAgQJ6U1MVXOaj8PK2l7WJ3RER9xtqwdhxkhw/edit?usp=sharing"",""นครปฐม!J484"")"),0)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9">
        <f ca="1">IFERROR(__xludf.DUMMYFUNCTION("IMPORTRANGE(""https://docs.google.com/spreadsheets/d/1SX6NBoVAgQJ6U1MVXOaj8PK2l7WJ3RER9xtqwdhxkhw/edit?usp=sharing"",""นครปฐม!J485"")"),0)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IFERROR(__xludf.DUMMYFUNCTION("IMPORTRANGE(""https://docs.google.com/spreadsheets/d/1SX6NBoVAgQJ6U1MVXOaj8PK2l7WJ3RER9xtqwdhxkhw/edit?usp=sharing"",""นครปฐม!I486"")"),0)</f>
        <v>0</v>
      </c>
      <c r="J591" s="189">
        <f ca="1">IFERROR(__xludf.DUMMYFUNCTION("IMPORTRANGE(""https://docs.google.com/spreadsheets/d/1SX6NBoVAgQJ6U1MVXOaj8PK2l7WJ3RER9xtqwdhxkhw/edit?usp=sharing"",""นครปฐม!J486"")"),0)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9">
        <f ca="1">IFERROR(__xludf.DUMMYFUNCTION("IMPORTRANGE(""https://docs.google.com/spreadsheets/d/1SX6NBoVAgQJ6U1MVXOaj8PK2l7WJ3RER9xtqwdhxkhw/edit?usp=sharing"",""นครปฐม!J487"")"),0)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IFERROR(__xludf.DUMMYFUNCTION("IMPORTRANGE(""https://docs.google.com/spreadsheets/d/1SX6NBoVAgQJ6U1MVXOaj8PK2l7WJ3RER9xtqwdhxkhw/edit?usp=sharing"",""นครปฐม!I488"")"),0)</f>
        <v>0</v>
      </c>
      <c r="J593" s="189">
        <f ca="1">IFERROR(__xludf.DUMMYFUNCTION("IMPORTRANGE(""https://docs.google.com/spreadsheets/d/1SX6NBoVAgQJ6U1MVXOaj8PK2l7WJ3RER9xtqwdhxkhw/edit?usp=sharing"",""นครปฐม!J488"")"),0)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9">
        <f ca="1">IFERROR(__xludf.DUMMYFUNCTION("IMPORTRANGE(""https://docs.google.com/spreadsheets/d/1SX6NBoVAgQJ6U1MVXOaj8PK2l7WJ3RER9xtqwdhxkhw/edit?usp=sharing"",""นครปฐม!J489"")"),0)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IFERROR(__xludf.DUMMYFUNCTION("IMPORTRANGE(""https://docs.google.com/spreadsheets/d/1SX6NBoVAgQJ6U1MVXOaj8PK2l7WJ3RER9xtqwdhxkhw/edit?usp=sharing"",""นครปฐม!I490"")"),0)</f>
        <v>0</v>
      </c>
      <c r="J595" s="189">
        <f ca="1">IFERROR(__xludf.DUMMYFUNCTION("IMPORTRANGE(""https://docs.google.com/spreadsheets/d/1SX6NBoVAgQJ6U1MVXOaj8PK2l7WJ3RER9xtqwdhxkhw/edit?usp=sharing"",""นครปฐม!J490"")"),0)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7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IFERROR(__xludf.DUMMYFUNCTION("IMPORTRANGE(""https://docs.google.com/spreadsheets/d/1SX6NBoVAgQJ6U1MVXOaj8PK2l7WJ3RER9xtqwdhxkhw/edit?usp=sharing"",""นครปฐม!L493"")"),0)</f>
        <v>0</v>
      </c>
      <c r="M598" s="166"/>
      <c r="N598" s="170">
        <f ca="1">IFERROR(__xludf.DUMMYFUNCTION("IMPORTRANGE(""https://docs.google.com/spreadsheets/d/1SX6NBoVAgQJ6U1MVXOaj8PK2l7WJ3RER9xtqwdhxkhw/edit?usp=sharing"",""นครปฐม!M493"")"),0)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IFERROR(__xludf.DUMMYFUNCTION("IMPORTRANGE(""https://docs.google.com/spreadsheets/d/1SX6NBoVAgQJ6U1MVXOaj8PK2l7WJ3RER9xtqwdhxkhw/edit?usp=sharing"",""นครปฐม!L494"")"),4550)</f>
        <v>4550</v>
      </c>
      <c r="M599" s="167"/>
      <c r="N599" s="170">
        <f ca="1">IFERROR(__xludf.DUMMYFUNCTION("IMPORTRANGE(""https://docs.google.com/spreadsheets/d/1SX6NBoVAgQJ6U1MVXOaj8PK2l7WJ3RER9xtqwdhxkhw/edit?usp=sharing"",""นครปฐม!M494"")"),400)</f>
        <v>400</v>
      </c>
      <c r="O599" s="170">
        <f t="shared" ca="1" si="126"/>
        <v>8.791208791208792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IFERROR(__xludf.DUMMYFUNCTION("IMPORTRANGE(""https://docs.google.com/spreadsheets/d/1SX6NBoVAgQJ6U1MVXOaj8PK2l7WJ3RER9xtqwdhxkhw/edit?usp=sharing"",""นครปฐม!L495"")"),0)</f>
        <v>0</v>
      </c>
      <c r="M600" s="170"/>
      <c r="N600" s="170">
        <f ca="1">IFERROR(__xludf.DUMMYFUNCTION("IMPORTRANGE(""https://docs.google.com/spreadsheets/d/1SX6NBoVAgQJ6U1MVXOaj8PK2l7WJ3RER9xtqwdhxkhw/edit?usp=sharing"",""นครปฐม!M495"")"),0)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IFERROR(__xludf.DUMMYFUNCTION("IMPORTRANGE(""https://docs.google.com/spreadsheets/d/1SX6NBoVAgQJ6U1MVXOaj8PK2l7WJ3RER9xtqwdhxkhw/edit?usp=sharing"",""นครปฐม!L496"")"),4550)</f>
        <v>4550</v>
      </c>
      <c r="M601" s="170"/>
      <c r="N601" s="170">
        <f ca="1">IFERROR(__xludf.DUMMYFUNCTION("IMPORTRANGE(""https://docs.google.com/spreadsheets/d/1SX6NBoVAgQJ6U1MVXOaj8PK2l7WJ3RER9xtqwdhxkhw/edit?usp=sharing"",""นครปฐม!M496"")"),400)</f>
        <v>400</v>
      </c>
      <c r="O601" s="170">
        <f t="shared" ca="1" si="126"/>
        <v>8.791208791208792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IFERROR(__xludf.DUMMYFUNCTION("IMPORTRANGE(""https://docs.google.com/spreadsheets/d/1SX6NBoVAgQJ6U1MVXOaj8PK2l7WJ3RER9xtqwdhxkhw/edit?usp=sharing"",""นครปฐม!M497"")"),0)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IFERROR(__xludf.DUMMYFUNCTION("IMPORTRANGE(""https://docs.google.com/spreadsheets/d/1SX6NBoVAgQJ6U1MVXOaj8PK2l7WJ3RER9xtqwdhxkhw/edit?usp=sharing"",""นครปฐม!M498"")"),0)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IFERROR(__xludf.DUMMYFUNCTION("IMPORTRANGE(""https://docs.google.com/spreadsheets/d/1SX6NBoVAgQJ6U1MVXOaj8PK2l7WJ3RER9xtqwdhxkhw/edit?usp=sharing"",""นครปฐม!J502"")"),0)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IFERROR(__xludf.DUMMYFUNCTION("IMPORTRANGE(""https://docs.google.com/spreadsheets/d/1SX6NBoVAgQJ6U1MVXOaj8PK2l7WJ3RER9xtqwdhxkhw/edit?usp=sharing"",""นครปฐม!J503"")"),1)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IFERROR(__xludf.DUMMYFUNCTION("IMPORTRANGE(""https://docs.google.com/spreadsheets/d/1SX6NBoVAgQJ6U1MVXOaj8PK2l7WJ3RER9xtqwdhxkhw/edit?usp=sharing"",""นครปฐม!I506"")"),50)</f>
        <v>50</v>
      </c>
      <c r="J611" s="164">
        <f ca="1">IFERROR(__xludf.DUMMYFUNCTION("IMPORTRANGE(""https://docs.google.com/spreadsheets/d/1SX6NBoVAgQJ6U1MVXOaj8PK2l7WJ3RER9xtqwdhxkhw/edit?usp=sharing"",""นครปฐม!J506"")"),0)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IFERROR(__xludf.DUMMYFUNCTION("IMPORTRANGE(""https://docs.google.com/spreadsheets/d/1SX6NBoVAgQJ6U1MVXOaj8PK2l7WJ3RER9xtqwdhxkhw/edit?usp=sharing"",""นครปฐม!I507"")"),0)</f>
        <v>0</v>
      </c>
      <c r="J612" s="199">
        <f ca="1">IFERROR(__xludf.DUMMYFUNCTION("IMPORTRANGE(""https://docs.google.com/spreadsheets/d/1SX6NBoVAgQJ6U1MVXOaj8PK2l7WJ3RER9xtqwdhxkhw/edit?usp=sharing"",""นครปฐม!J507"")"),0)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IFERROR(__xludf.DUMMYFUNCTION("IMPORTRANGE(""https://docs.google.com/spreadsheets/d/1SX6NBoVAgQJ6U1MVXOaj8PK2l7WJ3RER9xtqwdhxkhw/edit?usp=sharing"",""นครปฐม!I508"")"),0)</f>
        <v>0</v>
      </c>
      <c r="J613" s="199">
        <f ca="1">IFERROR(__xludf.DUMMYFUNCTION("IMPORTRANGE(""https://docs.google.com/spreadsheets/d/1SX6NBoVAgQJ6U1MVXOaj8PK2l7WJ3RER9xtqwdhxkhw/edit?usp=sharing"",""นครปฐม!J508"")"),0)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IFERROR(__xludf.DUMMYFUNCTION("IMPORTRANGE(""https://docs.google.com/spreadsheets/d/1SX6NBoVAgQJ6U1MVXOaj8PK2l7WJ3RER9xtqwdhxkhw/edit?usp=sharing"",""นครปฐม!I509"")"),0)</f>
        <v>0</v>
      </c>
      <c r="J614" s="199">
        <f ca="1">IFERROR(__xludf.DUMMYFUNCTION("IMPORTRANGE(""https://docs.google.com/spreadsheets/d/1SX6NBoVAgQJ6U1MVXOaj8PK2l7WJ3RER9xtqwdhxkhw/edit?usp=sharing"",""นครปฐม!J509"")"),0)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IFERROR(__xludf.DUMMYFUNCTION("IMPORTRANGE(""https://docs.google.com/spreadsheets/d/1SX6NBoVAgQJ6U1MVXOaj8PK2l7WJ3RER9xtqwdhxkhw/edit?usp=sharing"",""นครปฐม!I510"")"),0)</f>
        <v>0</v>
      </c>
      <c r="J615" s="199">
        <f ca="1">IFERROR(__xludf.DUMMYFUNCTION("IMPORTRANGE(""https://docs.google.com/spreadsheets/d/1SX6NBoVAgQJ6U1MVXOaj8PK2l7WJ3RER9xtqwdhxkhw/edit?usp=sharing"",""นครปฐม!J510"")"),0)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IFERROR(__xludf.DUMMYFUNCTION("IMPORTRANGE(""https://docs.google.com/spreadsheets/d/1SX6NBoVAgQJ6U1MVXOaj8PK2l7WJ3RER9xtqwdhxkhw/edit?usp=sharing"",""นครปฐม!I511"")"),0)</f>
        <v>0</v>
      </c>
      <c r="J616" s="199">
        <f ca="1">IFERROR(__xludf.DUMMYFUNCTION("IMPORTRANGE(""https://docs.google.com/spreadsheets/d/1SX6NBoVAgQJ6U1MVXOaj8PK2l7WJ3RER9xtqwdhxkhw/edit?usp=sharing"",""นครปฐม!J511"")"),0)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IFERROR(__xludf.DUMMYFUNCTION("IMPORTRANGE(""https://docs.google.com/spreadsheets/d/1SX6NBoVAgQJ6U1MVXOaj8PK2l7WJ3RER9xtqwdhxkhw/edit?usp=sharing"",""นครปฐม!I512"")"),0)</f>
        <v>0</v>
      </c>
      <c r="J617" s="189">
        <f ca="1">IFERROR(__xludf.DUMMYFUNCTION("IMPORTRANGE(""https://docs.google.com/spreadsheets/d/1SX6NBoVAgQJ6U1MVXOaj8PK2l7WJ3RER9xtqwdhxkhw/edit?usp=sharing"",""นครปฐม!J512"")"),0)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IFERROR(__xludf.DUMMYFUNCTION("IMPORTRANGE(""https://docs.google.com/spreadsheets/d/1SX6NBoVAgQJ6U1MVXOaj8PK2l7WJ3RER9xtqwdhxkhw/edit?usp=sharing"",""นครปฐม!I513"")"),0)</f>
        <v>0</v>
      </c>
      <c r="J618" s="190">
        <f ca="1">IFERROR(__xludf.DUMMYFUNCTION("IMPORTRANGE(""https://docs.google.com/spreadsheets/d/1SX6NBoVAgQJ6U1MVXOaj8PK2l7WJ3RER9xtqwdhxkhw/edit?usp=sharing"",""นครปฐม!J513"")"),0)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IFERROR(__xludf.DUMMYFUNCTION("IMPORTRANGE(""https://docs.google.com/spreadsheets/d/1SX6NBoVAgQJ6U1MVXOaj8PK2l7WJ3RER9xtqwdhxkhw/edit?usp=sharing"",""นครปฐม!I514"")"),0)</f>
        <v>0</v>
      </c>
      <c r="J619" s="190">
        <f ca="1">IFERROR(__xludf.DUMMYFUNCTION("IMPORTRANGE(""https://docs.google.com/spreadsheets/d/1SX6NBoVAgQJ6U1MVXOaj8PK2l7WJ3RER9xtqwdhxkhw/edit?usp=sharing"",""นครปฐม!J514"")"),0)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IFERROR(__xludf.DUMMYFUNCTION("IMPORTRANGE(""https://docs.google.com/spreadsheets/d/1SX6NBoVAgQJ6U1MVXOaj8PK2l7WJ3RER9xtqwdhxkhw/edit?usp=sharing"",""นครปฐม!I515"")"),0)</f>
        <v>0</v>
      </c>
      <c r="J620" s="204">
        <f ca="1">IFERROR(__xludf.DUMMYFUNCTION("IMPORTRANGE(""https://docs.google.com/spreadsheets/d/1SX6NBoVAgQJ6U1MVXOaj8PK2l7WJ3RER9xtqwdhxkhw/edit?usp=sharing"",""นครปฐม!J515"")"),0)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IFERROR(__xludf.DUMMYFUNCTION("IMPORTRANGE(""https://docs.google.com/spreadsheets/d/1SX6NBoVAgQJ6U1MVXOaj8PK2l7WJ3RER9xtqwdhxkhw/edit?usp=sharing"",""นครปฐม!I516"")"),0)</f>
        <v>0</v>
      </c>
      <c r="J621" s="204">
        <f ca="1">IFERROR(__xludf.DUMMYFUNCTION("IMPORTRANGE(""https://docs.google.com/spreadsheets/d/1SX6NBoVAgQJ6U1MVXOaj8PK2l7WJ3RER9xtqwdhxkhw/edit?usp=sharing"",""นครปฐม!J516"")"),0)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IFERROR(__xludf.DUMMYFUNCTION("IMPORTRANGE(""https://docs.google.com/spreadsheets/d/1SX6NBoVAgQJ6U1MVXOaj8PK2l7WJ3RER9xtqwdhxkhw/edit?usp=sharing"",""นครปฐม!I517"")"),0)</f>
        <v>0</v>
      </c>
      <c r="J622" s="190">
        <f ca="1">IFERROR(__xludf.DUMMYFUNCTION("IMPORTRANGE(""https://docs.google.com/spreadsheets/d/1SX6NBoVAgQJ6U1MVXOaj8PK2l7WJ3RER9xtqwdhxkhw/edit?usp=sharing"",""นครปฐม!J517"")"),0)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IFERROR(__xludf.DUMMYFUNCTION("IMPORTRANGE(""https://docs.google.com/spreadsheets/d/1SX6NBoVAgQJ6U1MVXOaj8PK2l7WJ3RER9xtqwdhxkhw/edit?usp=sharing"",""นครปฐม!I518"")"),0)</f>
        <v>0</v>
      </c>
      <c r="J623" s="190">
        <f ca="1">IFERROR(__xludf.DUMMYFUNCTION("IMPORTRANGE(""https://docs.google.com/spreadsheets/d/1SX6NBoVAgQJ6U1MVXOaj8PK2l7WJ3RER9xtqwdhxkhw/edit?usp=sharing"",""นครปฐม!J518"")"),0)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IFERROR(__xludf.DUMMYFUNCTION("IMPORTRANGE(""https://docs.google.com/spreadsheets/d/1SX6NBoVAgQJ6U1MVXOaj8PK2l7WJ3RER9xtqwdhxkhw/edit?usp=sharing"",""นครปฐม!I519"")"),0)</f>
        <v>0</v>
      </c>
      <c r="J624" s="189">
        <f ca="1">IFERROR(__xludf.DUMMYFUNCTION("IMPORTRANGE(""https://docs.google.com/spreadsheets/d/1SX6NBoVAgQJ6U1MVXOaj8PK2l7WJ3RER9xtqwdhxkhw/edit?usp=sharing"",""นครปฐม!J519"")"),0)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IFERROR(__xludf.DUMMYFUNCTION("IMPORTRANGE(""https://docs.google.com/spreadsheets/d/1SX6NBoVAgQJ6U1MVXOaj8PK2l7WJ3RER9xtqwdhxkhw/edit?usp=sharing"",""นครปฐม!I520"")"),0)</f>
        <v>0</v>
      </c>
      <c r="J625" s="190">
        <f ca="1">IFERROR(__xludf.DUMMYFUNCTION("IMPORTRANGE(""https://docs.google.com/spreadsheets/d/1SX6NBoVAgQJ6U1MVXOaj8PK2l7WJ3RER9xtqwdhxkhw/edit?usp=sharing"",""นครปฐม!J520"")"),0)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IFERROR(__xludf.DUMMYFUNCTION("IMPORTRANGE(""https://docs.google.com/spreadsheets/d/1SX6NBoVAgQJ6U1MVXOaj8PK2l7WJ3RER9xtqwdhxkhw/edit?usp=sharing"",""นครปฐม!I521"")"),0)</f>
        <v>0</v>
      </c>
      <c r="J626" s="190">
        <f ca="1">IFERROR(__xludf.DUMMYFUNCTION("IMPORTRANGE(""https://docs.google.com/spreadsheets/d/1SX6NBoVAgQJ6U1MVXOaj8PK2l7WJ3RER9xtqwdhxkhw/edit?usp=sharing"",""นครปฐม!J521"")"),0)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IFERROR(__xludf.DUMMYFUNCTION("IMPORTRANGE(""https://docs.google.com/spreadsheets/d/1SX6NBoVAgQJ6U1MVXOaj8PK2l7WJ3RER9xtqwdhxkhw/edit?usp=sharing"",""นครปฐม!I523"")"),3160000)</f>
        <v>3160000</v>
      </c>
      <c r="J628" s="341">
        <f ca="1">IFERROR(__xludf.DUMMYFUNCTION("IMPORTRANGE(""https://docs.google.com/spreadsheets/d/1SX6NBoVAgQJ6U1MVXOaj8PK2l7WJ3RER9xtqwdhxkhw/edit?usp=sharing"",""นครปฐม!J523"")"),8000)</f>
        <v>8000</v>
      </c>
      <c r="K628" s="342">
        <f t="shared" ref="K628:K635" ca="1" si="129">IF(I628&gt;0,J628*100/I628,0)</f>
        <v>0.25316455696202533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IFERROR(__xludf.DUMMYFUNCTION("IMPORTRANGE(""https://docs.google.com/spreadsheets/d/1SX6NBoVAgQJ6U1MVXOaj8PK2l7WJ3RER9xtqwdhxkhw/edit?usp=sharing"",""นครปฐม!I524"")"),70)</f>
        <v>70</v>
      </c>
      <c r="J629" s="341">
        <f ca="1">IFERROR(__xludf.DUMMYFUNCTION("IMPORTRANGE(""https://docs.google.com/spreadsheets/d/1SX6NBoVAgQJ6U1MVXOaj8PK2l7WJ3RER9xtqwdhxkhw/edit?usp=sharing"",""นครปฐม!J524"")"),1)</f>
        <v>1</v>
      </c>
      <c r="K629" s="342">
        <f t="shared" ca="1" si="129"/>
        <v>1.4285714285714286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1">
        <f ca="1">IFERROR(__xludf.DUMMYFUNCTION("IMPORTRANGE(""https://docs.google.com/spreadsheets/d/1SX6NBoVAgQJ6U1MVXOaj8PK2l7WJ3RER9xtqwdhxkhw/edit?usp=sharing"",""นครปฐม!J525"")"),290973.01)</f>
        <v>290973.01</v>
      </c>
      <c r="K630" s="342">
        <f t="shared" ca="1" si="129"/>
        <v>22.822408143012485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IFERROR(__xludf.DUMMYFUNCTION("IMPORTRANGE(""https://docs.google.com/spreadsheets/d/1SX6NBoVAgQJ6U1MVXOaj8PK2l7WJ3RER9xtqwdhxkhw/edit?usp=sharing"",""นครปฐม!I526"")"),31)</f>
        <v>31</v>
      </c>
      <c r="J631" s="341">
        <f ca="1">IFERROR(__xludf.DUMMYFUNCTION("IMPORTRANGE(""https://docs.google.com/spreadsheets/d/1SX6NBoVAgQJ6U1MVXOaj8PK2l7WJ3RER9xtqwdhxkhw/edit?usp=sharing"",""นครปฐม!J526"")"),30)</f>
        <v>30</v>
      </c>
      <c r="K631" s="342">
        <f t="shared" ca="1" si="129"/>
        <v>96.774193548387103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IFERROR(__xludf.DUMMYFUNCTION("IMPORTRANGE(""https://docs.google.com/spreadsheets/d/1SX6NBoVAgQJ6U1MVXOaj8PK2l7WJ3RER9xtqwdhxkhw/edit?usp=sharing"",""นครปฐม!I527"")"),527836.61)</f>
        <v>527836.61</v>
      </c>
      <c r="J632" s="341">
        <f ca="1">IFERROR(__xludf.DUMMYFUNCTION("IMPORTRANGE(""https://docs.google.com/spreadsheets/d/1SX6NBoVAgQJ6U1MVXOaj8PK2l7WJ3RER9xtqwdhxkhw/edit?usp=sharing"",""นครปฐม!J527"")"),22807.31)</f>
        <v>22807.31</v>
      </c>
      <c r="K632" s="342">
        <f t="shared" ca="1" si="129"/>
        <v>4.3209033947076918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IFERROR(__xludf.DUMMYFUNCTION("IMPORTRANGE(""https://docs.google.com/spreadsheets/d/1SX6NBoVAgQJ6U1MVXOaj8PK2l7WJ3RER9xtqwdhxkhw/edit?usp=sharing"",""นครปฐม!I528"")"),262)</f>
        <v>262</v>
      </c>
      <c r="J633" s="341">
        <f ca="1">IFERROR(__xludf.DUMMYFUNCTION("IMPORTRANGE(""https://docs.google.com/spreadsheets/d/1SX6NBoVAgQJ6U1MVXOaj8PK2l7WJ3RER9xtqwdhxkhw/edit?usp=sharing"",""นครปฐม!J528"")"),6)</f>
        <v>6</v>
      </c>
      <c r="K633" s="342">
        <f t="shared" ca="1" si="129"/>
        <v>2.2900763358778624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IFERROR(__xludf.DUMMYFUNCTION("IMPORTRANGE(""https://docs.google.com/spreadsheets/d/1SX6NBoVAgQJ6U1MVXOaj8PK2l7WJ3RER9xtqwdhxkhw/edit?usp=sharing"",""นครปฐม!I529"")"),4410000)</f>
        <v>4410000</v>
      </c>
      <c r="J634" s="341">
        <f ca="1">IFERROR(__xludf.DUMMYFUNCTION("IMPORTRANGE(""https://docs.google.com/spreadsheets/d/1SX6NBoVAgQJ6U1MVXOaj8PK2l7WJ3RER9xtqwdhxkhw/edit?usp=sharing"",""นครปฐม!J529"")"),0)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IFERROR(__xludf.DUMMYFUNCTION("IMPORTRANGE(""https://docs.google.com/spreadsheets/d/1SX6NBoVAgQJ6U1MVXOaj8PK2l7WJ3RER9xtqwdhxkhw/edit?usp=sharing"",""นครปฐม!I530"")"),94)</f>
        <v>94</v>
      </c>
      <c r="J635" s="504">
        <f ca="1">IFERROR(__xludf.DUMMYFUNCTION("IMPORTRANGE(""https://docs.google.com/spreadsheets/d/1SX6NBoVAgQJ6U1MVXOaj8PK2l7WJ3RER9xtqwdhxkhw/edit?usp=sharing"",""นครปฐม!J530"")"),0)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2022-03-17T07:23:32Z</cp:lastPrinted>
  <dcterms:modified xsi:type="dcterms:W3CDTF">2022-03-21T02:29:27Z</dcterms:modified>
</cp:coreProperties>
</file>